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8_{6F90A74C-293D-438F-823A-7EEDF4B48F0D}" xr6:coauthVersionLast="47" xr6:coauthVersionMax="47" xr10:uidLastSave="{00000000-0000-0000-0000-000000000000}"/>
  <bookViews>
    <workbookView xWindow="-110" yWindow="-110" windowWidth="19420" windowHeight="10420" tabRatio="768" xr2:uid="{00000000-000D-0000-FFFF-FFFF00000000}"/>
  </bookViews>
  <sheets>
    <sheet name="TITLE PAGE" sheetId="1" r:id="rId1"/>
    <sheet name="1. Base Year Licences" sheetId="3" r:id="rId2"/>
    <sheet name="2. WC Level Data" sheetId="15" r:id="rId3"/>
    <sheet name="CAMCAM" sheetId="20" r:id="rId4"/>
    <sheet name="4. Options Appraisal Summary" sheetId="17" r:id="rId5"/>
    <sheet name="5. Options Benefits" sheetId="18" r:id="rId6"/>
    <sheet name="5a-5c. Cost Profiles" sheetId="26" r:id="rId7"/>
    <sheet name="6. Drought Plan Links" sheetId="19" r:id="rId8"/>
    <sheet name="7. Adaptive Programmes" sheetId="16" r:id="rId9"/>
    <sheet name="8. Business Plan Links " sheetId="22" r:id="rId10"/>
    <sheet name="Option Typs_Grps" sheetId="23" r:id="rId11"/>
  </sheets>
  <externalReferences>
    <externalReference r:id="rId12"/>
    <externalReference r:id="rId13"/>
  </externalReferences>
  <definedNames>
    <definedName name="_xlnm._FilterDatabase" localSheetId="9" hidden="1">'8. Business Plan Links '!$B$6:$U$95</definedName>
    <definedName name="btnTemplate">"Button 1"</definedName>
    <definedName name="rngOptions">'Option Typs_Grps'!$B$2:$C$47</definedName>
    <definedName name="rngWRZ">'Option Typs_Grps'!$E$2:$J$133</definedName>
    <definedName name="TBL2d_WCDYAABL">'2. WC Level Data'!$B$55:$CJ$65</definedName>
    <definedName name="TBL2e_WCDYAAFP">'2. WC Level Data'!$B$68:$CJ$80</definedName>
    <definedName name="WRZ_DATA_T3A">CAMCAM!$B$22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6" i="26" l="1"/>
  <c r="C117" i="26" s="1"/>
  <c r="C118" i="26" s="1"/>
  <c r="C119" i="26" s="1"/>
  <c r="C120" i="26" s="1"/>
  <c r="C121" i="26" s="1"/>
  <c r="C122" i="26" s="1"/>
  <c r="C123" i="26" s="1"/>
  <c r="N122" i="26"/>
  <c r="I123" i="26" s="1"/>
  <c r="G153" i="26" a="1"/>
  <c r="G153" i="26" s="1"/>
  <c r="E153" i="26" a="1"/>
  <c r="E153" i="26" l="1"/>
  <c r="H153" i="26" l="1" a="1"/>
  <c r="H153" i="26" s="1"/>
  <c r="D196" i="26" l="1"/>
  <c r="J88" i="20" l="1"/>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I178" i="20"/>
  <c r="J178" i="20"/>
  <c r="K178" i="20"/>
  <c r="L178" i="20"/>
  <c r="M178" i="20"/>
  <c r="N178" i="20"/>
  <c r="O178" i="20"/>
  <c r="P178" i="20"/>
  <c r="Q178" i="20"/>
  <c r="R178" i="20"/>
  <c r="S178" i="20"/>
  <c r="T178" i="20"/>
  <c r="U178" i="20"/>
  <c r="V178" i="20"/>
  <c r="W178" i="20"/>
  <c r="X178" i="20"/>
  <c r="Y178" i="20"/>
  <c r="Z178" i="20"/>
  <c r="AA178" i="20"/>
  <c r="AB178" i="20"/>
  <c r="AC178" i="20"/>
  <c r="AD178" i="20"/>
  <c r="AE178" i="20"/>
  <c r="AF178" i="20"/>
  <c r="AG178" i="20"/>
  <c r="AH178" i="20"/>
  <c r="AI178" i="20"/>
  <c r="AJ178" i="20"/>
  <c r="AK178" i="20"/>
  <c r="AL178" i="20"/>
  <c r="AM178" i="20"/>
  <c r="AN178" i="20"/>
  <c r="AO178" i="20"/>
  <c r="AP178" i="20"/>
  <c r="AQ178" i="20"/>
  <c r="AR178" i="20"/>
  <c r="AS178" i="20"/>
  <c r="AT178" i="20"/>
  <c r="AU178" i="20"/>
  <c r="AV178" i="20"/>
  <c r="AW178" i="20"/>
  <c r="AX178" i="20"/>
  <c r="AY178" i="20"/>
  <c r="AZ178" i="20"/>
  <c r="BA178" i="20"/>
  <c r="BB178" i="20"/>
  <c r="BC178" i="20"/>
  <c r="BD178" i="20"/>
  <c r="BE178" i="20"/>
  <c r="BF178" i="20"/>
  <c r="BG178" i="20"/>
  <c r="BH178" i="20"/>
  <c r="BI178" i="20"/>
  <c r="BJ178" i="20"/>
  <c r="BK178" i="20"/>
  <c r="BL178" i="20"/>
  <c r="BM178" i="20"/>
  <c r="BN178" i="20"/>
  <c r="BO178" i="20"/>
  <c r="BP178" i="20"/>
  <c r="BQ178" i="20"/>
  <c r="BR178" i="20"/>
  <c r="BS178" i="20"/>
  <c r="BT178" i="20"/>
  <c r="BU178" i="20"/>
  <c r="BV178" i="20"/>
  <c r="BW178" i="20"/>
  <c r="BX178" i="20"/>
  <c r="BY178" i="20"/>
  <c r="BZ178" i="20"/>
  <c r="CA178" i="20"/>
  <c r="CB178" i="20"/>
  <c r="CC178" i="20"/>
  <c r="CD178" i="20"/>
  <c r="CE178" i="20"/>
  <c r="CF178" i="20"/>
  <c r="CG178" i="20"/>
  <c r="CH178" i="20"/>
  <c r="CI178" i="20"/>
  <c r="N269" i="20"/>
  <c r="O269" i="20"/>
  <c r="P269" i="20"/>
  <c r="Q269" i="20"/>
  <c r="R269" i="20"/>
  <c r="S269" i="20"/>
  <c r="T269" i="20"/>
  <c r="U269" i="20"/>
  <c r="V269" i="20"/>
  <c r="W269" i="20"/>
  <c r="X269" i="20"/>
  <c r="Y269" i="20"/>
  <c r="Z269" i="20"/>
  <c r="AA269" i="20"/>
  <c r="AB269" i="20"/>
  <c r="AC269" i="20"/>
  <c r="AD269" i="20"/>
  <c r="AE269" i="20"/>
  <c r="AF269" i="20"/>
  <c r="AG269" i="20"/>
  <c r="AH269" i="20"/>
  <c r="AI269" i="20"/>
  <c r="AJ269" i="20"/>
  <c r="AK269" i="20"/>
  <c r="AL269" i="20"/>
  <c r="AM269" i="20"/>
  <c r="AN269" i="20"/>
  <c r="AO269" i="20"/>
  <c r="AP269" i="20"/>
  <c r="AQ269" i="20"/>
  <c r="AR269" i="20"/>
  <c r="AS269" i="20"/>
  <c r="AT269" i="20"/>
  <c r="AU269" i="20"/>
  <c r="AV269" i="20"/>
  <c r="AW269" i="20"/>
  <c r="AX269" i="20"/>
  <c r="AY269" i="20"/>
  <c r="AZ269" i="20"/>
  <c r="BA269" i="20"/>
  <c r="BB269" i="20"/>
  <c r="BC269" i="20"/>
  <c r="BD269" i="20"/>
  <c r="BE269" i="20"/>
  <c r="BF269" i="20"/>
  <c r="BG269" i="20"/>
  <c r="BH269" i="20"/>
  <c r="BI269" i="20"/>
  <c r="BJ269" i="20"/>
  <c r="BK269" i="20"/>
  <c r="BL269" i="20"/>
  <c r="BM269" i="20"/>
  <c r="BN269" i="20"/>
  <c r="BO269" i="20"/>
  <c r="BP269" i="20"/>
  <c r="BQ269" i="20"/>
  <c r="BR269" i="20"/>
  <c r="BS269" i="20"/>
  <c r="BT269" i="20"/>
  <c r="BU269" i="20"/>
  <c r="BV269" i="20"/>
  <c r="BW269" i="20"/>
  <c r="BX269" i="20"/>
  <c r="BY269" i="20"/>
  <c r="BZ269" i="20"/>
  <c r="CA269" i="20"/>
  <c r="CB269" i="20"/>
  <c r="CC269" i="20"/>
  <c r="CD269" i="20"/>
  <c r="CE269" i="20"/>
  <c r="CF269" i="20"/>
  <c r="CG269" i="20"/>
  <c r="CH269" i="20"/>
  <c r="CI269" i="20"/>
  <c r="H359" i="20"/>
  <c r="I359" i="20"/>
  <c r="J359" i="20"/>
  <c r="K359" i="20"/>
  <c r="L359" i="20"/>
  <c r="M359" i="20"/>
  <c r="N359" i="20"/>
  <c r="O359" i="20"/>
  <c r="P359" i="20"/>
  <c r="Q359" i="20"/>
  <c r="R359" i="20"/>
  <c r="S359" i="20"/>
  <c r="T359" i="20"/>
  <c r="U359" i="20"/>
  <c r="V359" i="20"/>
  <c r="W359" i="20"/>
  <c r="X359" i="20"/>
  <c r="Y359" i="20"/>
  <c r="Z359" i="20"/>
  <c r="AA359" i="20"/>
  <c r="AB359" i="20"/>
  <c r="AC359" i="20"/>
  <c r="AD359" i="20"/>
  <c r="AE359" i="20"/>
  <c r="AF359" i="20"/>
  <c r="AG359" i="20"/>
  <c r="AH359" i="20"/>
  <c r="AI359" i="20"/>
  <c r="AJ359" i="20"/>
  <c r="AK359" i="20"/>
  <c r="AL359" i="20"/>
  <c r="AM359" i="20"/>
  <c r="AN359" i="20"/>
  <c r="AO359" i="20"/>
  <c r="AP359" i="20"/>
  <c r="AQ359" i="20"/>
  <c r="AR359" i="20"/>
  <c r="AS359" i="20"/>
  <c r="AT359" i="20"/>
  <c r="AU359" i="20"/>
  <c r="AV359" i="20"/>
  <c r="AW359" i="20"/>
  <c r="AX359" i="20"/>
  <c r="AY359" i="20"/>
  <c r="AZ359" i="20"/>
  <c r="BA359" i="20"/>
  <c r="BB359" i="20"/>
  <c r="BC359" i="20"/>
  <c r="BD359" i="20"/>
  <c r="BE359" i="20"/>
  <c r="BF359" i="20"/>
  <c r="BG359" i="20"/>
  <c r="BH359" i="20"/>
  <c r="BI359" i="20"/>
  <c r="BJ359" i="20"/>
  <c r="BK359" i="20"/>
  <c r="BL359" i="20"/>
  <c r="BM359" i="20"/>
  <c r="BN359" i="20"/>
  <c r="BO359" i="20"/>
  <c r="BP359" i="20"/>
  <c r="BQ359" i="20"/>
  <c r="BR359" i="20"/>
  <c r="BS359" i="20"/>
  <c r="BT359" i="20"/>
  <c r="BU359" i="20"/>
  <c r="BV359" i="20"/>
  <c r="BW359" i="20"/>
  <c r="BX359" i="20"/>
  <c r="BY359" i="20"/>
  <c r="BZ359" i="20"/>
  <c r="CA359" i="20"/>
  <c r="CB359" i="20"/>
  <c r="CC359" i="20"/>
  <c r="CD359" i="20"/>
  <c r="CE359" i="20"/>
  <c r="CF359" i="20"/>
  <c r="CG359" i="20"/>
  <c r="CH359" i="20"/>
  <c r="CI359" i="20"/>
  <c r="G359" i="20"/>
  <c r="I269" i="20"/>
  <c r="J269" i="20"/>
  <c r="K269" i="20"/>
  <c r="L269" i="20"/>
  <c r="M269" i="20"/>
  <c r="N131" i="26"/>
  <c r="I132" i="26" s="1"/>
  <c r="CI141" i="20"/>
  <c r="J156" i="20" l="1"/>
  <c r="H156" i="20"/>
  <c r="L61" i="20" l="1"/>
  <c r="AA248" i="22" l="1"/>
  <c r="Z248" i="22"/>
  <c r="Y248" i="22"/>
  <c r="X248" i="22"/>
  <c r="W248" i="22"/>
  <c r="V248" i="22"/>
  <c r="U248" i="22"/>
  <c r="T248" i="22"/>
  <c r="S248" i="22"/>
  <c r="R248" i="22"/>
  <c r="Q248" i="22"/>
  <c r="P248" i="22"/>
  <c r="O248" i="22"/>
  <c r="N248" i="22"/>
  <c r="M248" i="22"/>
  <c r="AA239" i="22"/>
  <c r="Z239" i="22"/>
  <c r="Y239" i="22"/>
  <c r="X239" i="22"/>
  <c r="W239" i="22"/>
  <c r="V239" i="22"/>
  <c r="U239" i="22"/>
  <c r="T239" i="22"/>
  <c r="S239" i="22"/>
  <c r="R239" i="22"/>
  <c r="Q239" i="22"/>
  <c r="P239" i="22"/>
  <c r="O239" i="22"/>
  <c r="N239" i="22"/>
  <c r="M239" i="22"/>
  <c r="AA230" i="22"/>
  <c r="Z230" i="22"/>
  <c r="Y230" i="22"/>
  <c r="X230" i="22"/>
  <c r="W230" i="22"/>
  <c r="V230" i="22"/>
  <c r="U230" i="22"/>
  <c r="T230" i="22"/>
  <c r="S230" i="22"/>
  <c r="R230" i="22"/>
  <c r="Q230" i="22"/>
  <c r="P230" i="22"/>
  <c r="O230" i="22"/>
  <c r="N230" i="22"/>
  <c r="M230" i="22"/>
  <c r="AA153" i="22"/>
  <c r="Z153" i="22"/>
  <c r="Y153" i="22"/>
  <c r="X153" i="22"/>
  <c r="W153" i="22"/>
  <c r="V153" i="22"/>
  <c r="U153" i="22"/>
  <c r="T153" i="22"/>
  <c r="S153" i="22"/>
  <c r="R153" i="22"/>
  <c r="Q153" i="22"/>
  <c r="P153" i="22"/>
  <c r="O153" i="22"/>
  <c r="N153" i="22"/>
  <c r="M153" i="22"/>
  <c r="AA144" i="22"/>
  <c r="Z144" i="22"/>
  <c r="Y144" i="22"/>
  <c r="X144" i="22"/>
  <c r="W144" i="22"/>
  <c r="V144" i="22"/>
  <c r="U144" i="22"/>
  <c r="T144" i="22"/>
  <c r="S144" i="22"/>
  <c r="R144" i="22"/>
  <c r="Q144" i="22"/>
  <c r="P144" i="22"/>
  <c r="O144" i="22"/>
  <c r="N144" i="22"/>
  <c r="M144" i="22"/>
  <c r="AA135" i="22"/>
  <c r="Z135" i="22"/>
  <c r="Y135" i="22"/>
  <c r="X135" i="22"/>
  <c r="W135" i="22"/>
  <c r="V135" i="22"/>
  <c r="U135" i="22"/>
  <c r="T135" i="22"/>
  <c r="S135" i="22"/>
  <c r="R135" i="22"/>
  <c r="Q135" i="22"/>
  <c r="P135" i="22"/>
  <c r="O135" i="22"/>
  <c r="N135" i="22"/>
  <c r="M135" i="22"/>
  <c r="AA272" i="22" l="1"/>
  <c r="Z272" i="22"/>
  <c r="Y272" i="22"/>
  <c r="X272" i="22"/>
  <c r="W272" i="22"/>
  <c r="V272" i="22"/>
  <c r="U272" i="22"/>
  <c r="T272" i="22"/>
  <c r="S272" i="22"/>
  <c r="R272" i="22"/>
  <c r="Q272" i="22"/>
  <c r="P272" i="22"/>
  <c r="O272" i="22"/>
  <c r="N272" i="22"/>
  <c r="M272" i="22"/>
  <c r="AA177" i="22"/>
  <c r="Z177" i="22"/>
  <c r="Y177" i="22"/>
  <c r="X177" i="22"/>
  <c r="W177" i="22"/>
  <c r="V177" i="22"/>
  <c r="U177" i="22"/>
  <c r="T177" i="22"/>
  <c r="S177" i="22"/>
  <c r="R177" i="22"/>
  <c r="Q177" i="22"/>
  <c r="P177" i="22"/>
  <c r="O177" i="22"/>
  <c r="N177" i="22"/>
  <c r="M177" i="22"/>
  <c r="AA214" i="22" l="1"/>
  <c r="Z214" i="22"/>
  <c r="Y214" i="22"/>
  <c r="X214" i="22"/>
  <c r="W214" i="22"/>
  <c r="V214" i="22"/>
  <c r="U214" i="22"/>
  <c r="T214" i="22"/>
  <c r="S214" i="22"/>
  <c r="R214" i="22"/>
  <c r="Q214" i="22"/>
  <c r="P214" i="22"/>
  <c r="O214" i="22"/>
  <c r="N214" i="22"/>
  <c r="M214" i="22"/>
  <c r="AA211" i="22"/>
  <c r="Z211" i="22"/>
  <c r="Y211" i="22"/>
  <c r="X211" i="22"/>
  <c r="W211" i="22"/>
  <c r="V211" i="22"/>
  <c r="U211" i="22"/>
  <c r="T211" i="22"/>
  <c r="S211" i="22"/>
  <c r="R211" i="22"/>
  <c r="Q211" i="22"/>
  <c r="P211" i="22"/>
  <c r="O211" i="22"/>
  <c r="N211" i="22"/>
  <c r="M211" i="22"/>
  <c r="AA208" i="22"/>
  <c r="Z208" i="22"/>
  <c r="Y208" i="22"/>
  <c r="X208" i="22"/>
  <c r="W208" i="22"/>
  <c r="V208" i="22"/>
  <c r="U208" i="22"/>
  <c r="T208" i="22"/>
  <c r="S208" i="22"/>
  <c r="R208" i="22"/>
  <c r="Q208" i="22"/>
  <c r="P208" i="22"/>
  <c r="O208" i="22"/>
  <c r="N208" i="22"/>
  <c r="M208" i="22"/>
  <c r="AA205" i="22"/>
  <c r="Z205" i="22"/>
  <c r="Y205" i="22"/>
  <c r="X205" i="22"/>
  <c r="W205" i="22"/>
  <c r="V205" i="22"/>
  <c r="U205" i="22"/>
  <c r="T205" i="22"/>
  <c r="S205" i="22"/>
  <c r="R205" i="22"/>
  <c r="Q205" i="22"/>
  <c r="P205" i="22"/>
  <c r="O205" i="22"/>
  <c r="N205" i="22"/>
  <c r="M205" i="22"/>
  <c r="AA119" i="22"/>
  <c r="Z119" i="22"/>
  <c r="Y119" i="22"/>
  <c r="X119" i="22"/>
  <c r="W119" i="22"/>
  <c r="V119" i="22"/>
  <c r="U119" i="22"/>
  <c r="T119" i="22"/>
  <c r="S119" i="22"/>
  <c r="R119" i="22"/>
  <c r="Q119" i="22"/>
  <c r="P119" i="22"/>
  <c r="O119" i="22"/>
  <c r="N119" i="22"/>
  <c r="M119" i="22"/>
  <c r="AA116" i="22"/>
  <c r="Z116" i="22"/>
  <c r="Y116" i="22"/>
  <c r="X116" i="22"/>
  <c r="W116" i="22"/>
  <c r="V116" i="22"/>
  <c r="U116" i="22"/>
  <c r="T116" i="22"/>
  <c r="S116" i="22"/>
  <c r="R116" i="22"/>
  <c r="Q116" i="22"/>
  <c r="P116" i="22"/>
  <c r="O116" i="22"/>
  <c r="N116" i="22"/>
  <c r="M116" i="22"/>
  <c r="AA113" i="22"/>
  <c r="Z113" i="22"/>
  <c r="Y113" i="22"/>
  <c r="X113" i="22"/>
  <c r="W113" i="22"/>
  <c r="V113" i="22"/>
  <c r="U113" i="22"/>
  <c r="T113" i="22"/>
  <c r="S113" i="22"/>
  <c r="R113" i="22"/>
  <c r="Q113" i="22"/>
  <c r="P113" i="22"/>
  <c r="O113" i="22"/>
  <c r="N113" i="22"/>
  <c r="M113" i="22"/>
  <c r="AA110" i="22"/>
  <c r="Z110" i="22"/>
  <c r="Y110" i="22"/>
  <c r="X110" i="22"/>
  <c r="W110" i="22"/>
  <c r="V110" i="22"/>
  <c r="U110" i="22"/>
  <c r="T110" i="22"/>
  <c r="S110" i="22"/>
  <c r="R110" i="22"/>
  <c r="Q110" i="22"/>
  <c r="P110" i="22"/>
  <c r="O110" i="22"/>
  <c r="N110" i="22"/>
  <c r="M110" i="22"/>
  <c r="F23" i="18" l="1"/>
  <c r="B23" i="18" s="1"/>
  <c r="F22" i="18"/>
  <c r="B22" i="18" s="1"/>
  <c r="F21" i="18"/>
  <c r="B21" i="18" s="1"/>
  <c r="F20" i="18"/>
  <c r="B20" i="18" s="1"/>
  <c r="F19" i="18"/>
  <c r="B19" i="18" s="1"/>
  <c r="F18" i="18"/>
  <c r="B18" i="18" s="1"/>
  <c r="F17" i="18"/>
  <c r="B17" i="18" s="1"/>
  <c r="F16" i="18"/>
  <c r="B16" i="18" s="1"/>
  <c r="F15" i="18"/>
  <c r="B15" i="18" s="1"/>
  <c r="F14" i="18"/>
  <c r="B14" i="18" s="1"/>
  <c r="F13" i="18"/>
  <c r="B13" i="18" s="1"/>
  <c r="F12" i="18"/>
  <c r="B12" i="18" s="1"/>
  <c r="F25" i="18" l="1"/>
  <c r="B25" i="18" s="1"/>
  <c r="F26" i="18"/>
  <c r="B26" i="18" s="1"/>
  <c r="I271" i="20" l="1"/>
  <c r="H75" i="15"/>
  <c r="G75" i="15"/>
  <c r="AA58" i="22" l="1"/>
  <c r="Z58" i="22"/>
  <c r="Y58" i="22"/>
  <c r="X58" i="22"/>
  <c r="W58" i="22"/>
  <c r="V58" i="22"/>
  <c r="U58" i="22"/>
  <c r="T58" i="22"/>
  <c r="S58" i="22"/>
  <c r="R58" i="22"/>
  <c r="Q58" i="22"/>
  <c r="P58" i="22"/>
  <c r="O58" i="22"/>
  <c r="N58" i="22"/>
  <c r="M58" i="22"/>
  <c r="AA49" i="22"/>
  <c r="Z49" i="22"/>
  <c r="Y49" i="22"/>
  <c r="X49" i="22"/>
  <c r="W49" i="22"/>
  <c r="V49" i="22"/>
  <c r="U49" i="22"/>
  <c r="T49" i="22"/>
  <c r="S49" i="22"/>
  <c r="R49" i="22"/>
  <c r="Q49" i="22"/>
  <c r="P49" i="22"/>
  <c r="O49" i="22"/>
  <c r="N49" i="22"/>
  <c r="M49" i="22"/>
  <c r="AC330" i="20" l="1"/>
  <c r="M262" i="22" l="1"/>
  <c r="N262" i="22"/>
  <c r="O262" i="22"/>
  <c r="P262" i="22"/>
  <c r="Q262" i="22"/>
  <c r="R262" i="22"/>
  <c r="S262" i="22"/>
  <c r="T262" i="22"/>
  <c r="U262" i="22"/>
  <c r="V262" i="22"/>
  <c r="W262" i="22"/>
  <c r="X262" i="22"/>
  <c r="Y262" i="22"/>
  <c r="Z262" i="22"/>
  <c r="AA262" i="22"/>
  <c r="M263" i="22"/>
  <c r="N263" i="22"/>
  <c r="O263" i="22"/>
  <c r="P263" i="22"/>
  <c r="Q263" i="22"/>
  <c r="R263" i="22"/>
  <c r="S263" i="22"/>
  <c r="T263" i="22"/>
  <c r="U263" i="22"/>
  <c r="V263" i="22"/>
  <c r="W263" i="22"/>
  <c r="X263" i="22"/>
  <c r="Y263" i="22"/>
  <c r="Z263" i="22"/>
  <c r="AA263" i="22"/>
  <c r="W27" i="22" l="1"/>
  <c r="X27" i="22"/>
  <c r="Y27" i="22"/>
  <c r="Z27" i="22"/>
  <c r="AA27" i="22"/>
  <c r="V27" i="22"/>
  <c r="M122" i="22" l="1"/>
  <c r="N122" i="22"/>
  <c r="G113" i="22"/>
  <c r="H113" i="22"/>
  <c r="I113" i="22"/>
  <c r="J113" i="22"/>
  <c r="K113" i="22"/>
  <c r="L113" i="22"/>
  <c r="G116" i="22"/>
  <c r="H116" i="22"/>
  <c r="I116" i="22"/>
  <c r="J116" i="22"/>
  <c r="K116" i="22"/>
  <c r="L116" i="22"/>
  <c r="G119" i="22"/>
  <c r="H119" i="22"/>
  <c r="I119" i="22"/>
  <c r="J119" i="22"/>
  <c r="K119" i="22"/>
  <c r="L119" i="22"/>
  <c r="G122" i="22"/>
  <c r="H122" i="22"/>
  <c r="I122" i="22"/>
  <c r="J122" i="22"/>
  <c r="K122" i="22"/>
  <c r="L122" i="22"/>
  <c r="O122" i="22"/>
  <c r="P122" i="22"/>
  <c r="Q122" i="22"/>
  <c r="F7" i="18"/>
  <c r="B7" i="18" s="1"/>
  <c r="F8" i="18"/>
  <c r="B8" i="18" s="1"/>
  <c r="H57" i="15"/>
  <c r="I57" i="15"/>
  <c r="J57" i="15"/>
  <c r="K57" i="15"/>
  <c r="L57" i="15"/>
  <c r="M57" i="15"/>
  <c r="N57" i="15"/>
  <c r="O57" i="15"/>
  <c r="P57" i="15"/>
  <c r="Q57" i="15"/>
  <c r="R57" i="15"/>
  <c r="S57" i="15"/>
  <c r="T57" i="15"/>
  <c r="U57" i="15"/>
  <c r="V57" i="15"/>
  <c r="W57" i="15"/>
  <c r="X57" i="15"/>
  <c r="Y57" i="15"/>
  <c r="Z57" i="15"/>
  <c r="AA57" i="15"/>
  <c r="AB57" i="15"/>
  <c r="AC57" i="15"/>
  <c r="AD57" i="15"/>
  <c r="AE57" i="15"/>
  <c r="AF57" i="15"/>
  <c r="AG57" i="15"/>
  <c r="AH57" i="15"/>
  <c r="AI57" i="15"/>
  <c r="AJ57" i="15"/>
  <c r="AK57" i="15"/>
  <c r="AL57" i="15"/>
  <c r="AM57" i="15"/>
  <c r="AN57" i="15"/>
  <c r="AO57" i="15"/>
  <c r="AP57" i="15"/>
  <c r="AQ57" i="15"/>
  <c r="AR57" i="15"/>
  <c r="AS57" i="15"/>
  <c r="AT57" i="15"/>
  <c r="AU57" i="15"/>
  <c r="AV57" i="15"/>
  <c r="AW57" i="15"/>
  <c r="AX57" i="15"/>
  <c r="AY57" i="15"/>
  <c r="AZ57" i="15"/>
  <c r="BA57" i="15"/>
  <c r="BB57" i="15"/>
  <c r="BC57" i="15"/>
  <c r="BD57" i="15"/>
  <c r="BE57" i="15"/>
  <c r="BF57" i="15"/>
  <c r="BG57" i="15"/>
  <c r="BH57" i="15"/>
  <c r="BI57" i="15"/>
  <c r="BJ57" i="15"/>
  <c r="BK57" i="15"/>
  <c r="BL57" i="15"/>
  <c r="BM57" i="15"/>
  <c r="BN57" i="15"/>
  <c r="BO57" i="15"/>
  <c r="BP57" i="15"/>
  <c r="BQ57" i="15"/>
  <c r="BR57" i="15"/>
  <c r="BS57" i="15"/>
  <c r="BT57" i="15"/>
  <c r="BU57" i="15"/>
  <c r="BV57" i="15"/>
  <c r="BW57" i="15"/>
  <c r="BX57" i="15"/>
  <c r="BY57" i="15"/>
  <c r="BZ57" i="15"/>
  <c r="CA57" i="15"/>
  <c r="CB57" i="15"/>
  <c r="CC57" i="15"/>
  <c r="CD57" i="15"/>
  <c r="CE57" i="15"/>
  <c r="CF57" i="15"/>
  <c r="CG57" i="15"/>
  <c r="CH57" i="15"/>
  <c r="CI57" i="15"/>
  <c r="H59" i="15"/>
  <c r="I59" i="15"/>
  <c r="J59" i="15"/>
  <c r="K59" i="15"/>
  <c r="L59" i="15"/>
  <c r="M59" i="15"/>
  <c r="N59" i="15"/>
  <c r="O59" i="15"/>
  <c r="P59" i="15"/>
  <c r="Q59" i="15"/>
  <c r="R59" i="15"/>
  <c r="S59" i="15"/>
  <c r="T59" i="15"/>
  <c r="U59" i="15"/>
  <c r="V59" i="15"/>
  <c r="W59" i="15"/>
  <c r="X59" i="15"/>
  <c r="Y59" i="15"/>
  <c r="Z59" i="15"/>
  <c r="AA59" i="15"/>
  <c r="AB59" i="15"/>
  <c r="AC59" i="15"/>
  <c r="AD59" i="15"/>
  <c r="AE59" i="15"/>
  <c r="AF59" i="15"/>
  <c r="AG59" i="15"/>
  <c r="AH59" i="15"/>
  <c r="AI59" i="15"/>
  <c r="AJ59" i="15"/>
  <c r="AK59" i="15"/>
  <c r="AL59" i="15"/>
  <c r="AM59" i="15"/>
  <c r="AN59" i="15"/>
  <c r="AO59" i="15"/>
  <c r="AP59" i="15"/>
  <c r="AQ59" i="15"/>
  <c r="AR59" i="15"/>
  <c r="AS59" i="15"/>
  <c r="AT59" i="15"/>
  <c r="AU59" i="15"/>
  <c r="AV59" i="15"/>
  <c r="AW59" i="15"/>
  <c r="AX59" i="15"/>
  <c r="AY59" i="15"/>
  <c r="AZ59" i="15"/>
  <c r="BA59" i="15"/>
  <c r="BB59" i="15"/>
  <c r="BC59" i="15"/>
  <c r="BD59" i="15"/>
  <c r="BE59" i="15"/>
  <c r="BF59" i="15"/>
  <c r="BG59" i="15"/>
  <c r="BH59" i="15"/>
  <c r="BI59" i="15"/>
  <c r="BJ59" i="15"/>
  <c r="BK59" i="15"/>
  <c r="BL59" i="15"/>
  <c r="BM59" i="15"/>
  <c r="BN59" i="15"/>
  <c r="BO59" i="15"/>
  <c r="BP59" i="15"/>
  <c r="BQ59" i="15"/>
  <c r="BR59" i="15"/>
  <c r="BS59" i="15"/>
  <c r="BT59" i="15"/>
  <c r="BU59" i="15"/>
  <c r="BV59" i="15"/>
  <c r="BW59" i="15"/>
  <c r="BX59" i="15"/>
  <c r="BY59" i="15"/>
  <c r="BZ59" i="15"/>
  <c r="CA59" i="15"/>
  <c r="CB59" i="15"/>
  <c r="CC59" i="15"/>
  <c r="CD59" i="15"/>
  <c r="CE59" i="15"/>
  <c r="CF59" i="15"/>
  <c r="CG59" i="15"/>
  <c r="CH59" i="15"/>
  <c r="CI59" i="15"/>
  <c r="G59" i="15"/>
  <c r="G58" i="15"/>
  <c r="G57" i="15"/>
  <c r="H79" i="15"/>
  <c r="I79" i="15"/>
  <c r="J79" i="15"/>
  <c r="K79" i="15"/>
  <c r="L79" i="15"/>
  <c r="M79" i="15"/>
  <c r="N79" i="15"/>
  <c r="O79" i="15"/>
  <c r="P79" i="15"/>
  <c r="Q79" i="15"/>
  <c r="R79" i="15"/>
  <c r="S79" i="15"/>
  <c r="T79" i="15"/>
  <c r="U79" i="15"/>
  <c r="V79" i="15"/>
  <c r="W79" i="15"/>
  <c r="X79" i="15"/>
  <c r="Y79" i="15"/>
  <c r="Z79" i="15"/>
  <c r="AA79" i="15"/>
  <c r="AB79" i="15"/>
  <c r="AC79" i="15"/>
  <c r="AD79" i="15"/>
  <c r="AE79" i="15"/>
  <c r="AF79" i="15"/>
  <c r="AG79" i="15"/>
  <c r="AH79" i="15"/>
  <c r="AI79" i="15"/>
  <c r="AJ79" i="15"/>
  <c r="AK79" i="15"/>
  <c r="AL79" i="15"/>
  <c r="AM79" i="15"/>
  <c r="AN79" i="15"/>
  <c r="AO79" i="15"/>
  <c r="AP79" i="15"/>
  <c r="AQ79" i="15"/>
  <c r="AR79" i="15"/>
  <c r="AS79" i="15"/>
  <c r="AT79" i="15"/>
  <c r="AU79" i="15"/>
  <c r="AV79" i="15"/>
  <c r="AW79" i="15"/>
  <c r="AX79" i="15"/>
  <c r="AY79" i="15"/>
  <c r="AZ79" i="15"/>
  <c r="BA79" i="15"/>
  <c r="BB79" i="15"/>
  <c r="BC79" i="15"/>
  <c r="BD79" i="15"/>
  <c r="BE79" i="15"/>
  <c r="BF79" i="15"/>
  <c r="BG79" i="15"/>
  <c r="BH79" i="15"/>
  <c r="BI79" i="15"/>
  <c r="BJ79" i="15"/>
  <c r="BK79" i="15"/>
  <c r="BL79" i="15"/>
  <c r="BM79" i="15"/>
  <c r="BN79" i="15"/>
  <c r="BO79" i="15"/>
  <c r="BP79" i="15"/>
  <c r="BQ79" i="15"/>
  <c r="BR79" i="15"/>
  <c r="BS79" i="15"/>
  <c r="BT79" i="15"/>
  <c r="BU79" i="15"/>
  <c r="BV79" i="15"/>
  <c r="BW79" i="15"/>
  <c r="BX79" i="15"/>
  <c r="BY79" i="15"/>
  <c r="BZ79" i="15"/>
  <c r="CA79" i="15"/>
  <c r="CB79" i="15"/>
  <c r="CC79" i="15"/>
  <c r="CD79" i="15"/>
  <c r="CE79" i="15"/>
  <c r="CF79" i="15"/>
  <c r="CG79" i="15"/>
  <c r="CH79" i="15"/>
  <c r="CI79" i="15"/>
  <c r="G80" i="15"/>
  <c r="G79" i="15"/>
  <c r="G71" i="15"/>
  <c r="H110" i="22" l="1"/>
  <c r="H123" i="22" s="1"/>
  <c r="L110" i="22"/>
  <c r="L123" i="22" s="1"/>
  <c r="P123" i="22"/>
  <c r="J110" i="22"/>
  <c r="J123" i="22" s="1"/>
  <c r="N123" i="22"/>
  <c r="Q123" i="22"/>
  <c r="G110" i="22"/>
  <c r="G123" i="22" s="1"/>
  <c r="K110" i="22"/>
  <c r="K123" i="22" s="1"/>
  <c r="O123" i="22"/>
  <c r="I110" i="22"/>
  <c r="I123" i="22" s="1"/>
  <c r="M123" i="22"/>
  <c r="H56" i="15"/>
  <c r="I56" i="15"/>
  <c r="J56" i="15"/>
  <c r="K56" i="15"/>
  <c r="L56" i="15"/>
  <c r="M56" i="15"/>
  <c r="N56" i="15"/>
  <c r="O56" i="15"/>
  <c r="P56" i="15"/>
  <c r="Q56" i="15"/>
  <c r="R56" i="15"/>
  <c r="S56" i="15"/>
  <c r="T56" i="15"/>
  <c r="U56" i="15"/>
  <c r="V56" i="15"/>
  <c r="W56" i="15"/>
  <c r="X56" i="15"/>
  <c r="Y56" i="15"/>
  <c r="Z56" i="15"/>
  <c r="AA56" i="15"/>
  <c r="AB56" i="15"/>
  <c r="AC56" i="15"/>
  <c r="AD56" i="15"/>
  <c r="AE56" i="15"/>
  <c r="AF56" i="15"/>
  <c r="AG56" i="15"/>
  <c r="AH56" i="15"/>
  <c r="AI56" i="15"/>
  <c r="AJ56" i="15"/>
  <c r="AK56" i="15"/>
  <c r="AL56" i="15"/>
  <c r="AM56" i="15"/>
  <c r="AN56" i="15"/>
  <c r="AO56" i="15"/>
  <c r="AP56" i="15"/>
  <c r="AQ56" i="15"/>
  <c r="AR56" i="15"/>
  <c r="AS56" i="15"/>
  <c r="AT56" i="15"/>
  <c r="AU56" i="15"/>
  <c r="AV56" i="15"/>
  <c r="AW56" i="15"/>
  <c r="AX56" i="15"/>
  <c r="AY56" i="15"/>
  <c r="AZ56" i="15"/>
  <c r="BA56" i="15"/>
  <c r="BB56" i="15"/>
  <c r="BC56" i="15"/>
  <c r="BD56" i="15"/>
  <c r="BE56" i="15"/>
  <c r="BF56" i="15"/>
  <c r="BG56" i="15"/>
  <c r="BH56" i="15"/>
  <c r="BI56" i="15"/>
  <c r="BJ56" i="15"/>
  <c r="BK56" i="15"/>
  <c r="BL56" i="15"/>
  <c r="BM56" i="15"/>
  <c r="BN56" i="15"/>
  <c r="BO56" i="15"/>
  <c r="BP56" i="15"/>
  <c r="BQ56" i="15"/>
  <c r="BR56" i="15"/>
  <c r="BS56" i="15"/>
  <c r="BT56" i="15"/>
  <c r="BU56" i="15"/>
  <c r="BV56" i="15"/>
  <c r="BW56" i="15"/>
  <c r="BX56" i="15"/>
  <c r="BY56" i="15"/>
  <c r="BZ56" i="15"/>
  <c r="CA56" i="15"/>
  <c r="CB56" i="15"/>
  <c r="CC56" i="15"/>
  <c r="CD56" i="15"/>
  <c r="CE56" i="15"/>
  <c r="CF56" i="15"/>
  <c r="CG56" i="15"/>
  <c r="CH56" i="15"/>
  <c r="CI56" i="15"/>
  <c r="G56" i="15"/>
  <c r="L167" i="22" l="1"/>
  <c r="L168" i="22"/>
  <c r="L263" i="22"/>
  <c r="L262" i="22"/>
  <c r="L208" i="22"/>
  <c r="R104" i="22" l="1"/>
  <c r="S104" i="22"/>
  <c r="T104" i="22"/>
  <c r="U104" i="22"/>
  <c r="M123" i="20" l="1"/>
  <c r="M124" i="20"/>
  <c r="M126" i="20"/>
  <c r="M129" i="20"/>
  <c r="M130" i="20"/>
  <c r="M133" i="20"/>
  <c r="M135" i="20"/>
  <c r="M136" i="20"/>
  <c r="M137" i="20"/>
  <c r="M138" i="20"/>
  <c r="M143" i="20"/>
  <c r="M144" i="20"/>
  <c r="M145" i="20"/>
  <c r="M146" i="20"/>
  <c r="M147" i="20"/>
  <c r="M148" i="20"/>
  <c r="M149" i="20"/>
  <c r="M150" i="20"/>
  <c r="M175" i="20" l="1"/>
  <c r="M70" i="15"/>
  <c r="M72" i="15"/>
  <c r="M151" i="20"/>
  <c r="M141" i="20"/>
  <c r="M140" i="20"/>
  <c r="M142" i="20"/>
  <c r="M139" i="20"/>
  <c r="H266" i="20" l="1"/>
  <c r="I266" i="20"/>
  <c r="J266" i="20"/>
  <c r="K266" i="20"/>
  <c r="L266" i="20"/>
  <c r="M266" i="20"/>
  <c r="N266" i="20"/>
  <c r="O266" i="20"/>
  <c r="P266" i="20"/>
  <c r="Q266" i="20"/>
  <c r="R266" i="20"/>
  <c r="S266" i="20"/>
  <c r="T266" i="20"/>
  <c r="U266" i="20"/>
  <c r="V266" i="20"/>
  <c r="W266" i="20"/>
  <c r="X266" i="20"/>
  <c r="Y266" i="20"/>
  <c r="Z266" i="20"/>
  <c r="AA266" i="20"/>
  <c r="AB266" i="20"/>
  <c r="AC266" i="20"/>
  <c r="AD266" i="20"/>
  <c r="AE266" i="20"/>
  <c r="AF266" i="20"/>
  <c r="AG266" i="20"/>
  <c r="AH266" i="20"/>
  <c r="AI266" i="20"/>
  <c r="AJ266" i="20"/>
  <c r="AK266" i="20"/>
  <c r="AL266" i="20"/>
  <c r="AM266" i="20"/>
  <c r="AN266" i="20"/>
  <c r="AO266" i="20"/>
  <c r="AP266" i="20"/>
  <c r="AQ266" i="20"/>
  <c r="AR266" i="20"/>
  <c r="AS266" i="20"/>
  <c r="AT266" i="20"/>
  <c r="AU266" i="20"/>
  <c r="AV266" i="20"/>
  <c r="AW266" i="20"/>
  <c r="AX266" i="20"/>
  <c r="AY266" i="20"/>
  <c r="AZ266" i="20"/>
  <c r="BA266" i="20"/>
  <c r="BB266" i="20"/>
  <c r="BC266" i="20"/>
  <c r="BD266" i="20"/>
  <c r="BE266" i="20"/>
  <c r="BF266" i="20"/>
  <c r="BG266" i="20"/>
  <c r="BH266" i="20"/>
  <c r="BI266" i="20"/>
  <c r="BJ266" i="20"/>
  <c r="BK266" i="20"/>
  <c r="BL266" i="20"/>
  <c r="BM266" i="20"/>
  <c r="BN266" i="20"/>
  <c r="BO266" i="20"/>
  <c r="BP266" i="20"/>
  <c r="BQ266" i="20"/>
  <c r="BR266" i="20"/>
  <c r="BS266" i="20"/>
  <c r="BT266" i="20"/>
  <c r="BU266" i="20"/>
  <c r="BV266" i="20"/>
  <c r="BW266" i="20"/>
  <c r="BX266" i="20"/>
  <c r="BY266" i="20"/>
  <c r="BZ266" i="20"/>
  <c r="CA266" i="20"/>
  <c r="CB266" i="20"/>
  <c r="CC266" i="20"/>
  <c r="CD266" i="20"/>
  <c r="CE266" i="20"/>
  <c r="CF266" i="20"/>
  <c r="CG266" i="20"/>
  <c r="CH266" i="20"/>
  <c r="CI266" i="20"/>
  <c r="G266"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G85" i="20"/>
  <c r="F29" i="18" l="1"/>
  <c r="F30" i="18"/>
  <c r="F31" i="18"/>
  <c r="F32" i="18"/>
  <c r="F33" i="18"/>
  <c r="F27" i="18"/>
  <c r="F28" i="18"/>
  <c r="F9" i="18"/>
  <c r="B9" i="18" s="1"/>
  <c r="F10" i="18"/>
  <c r="F11" i="18"/>
  <c r="N62" i="15"/>
  <c r="N75" i="15" s="1"/>
  <c r="G130" i="20"/>
  <c r="G69" i="15" l="1"/>
  <c r="E208" i="26"/>
  <c r="D200" i="26"/>
  <c r="H204" i="26"/>
  <c r="N113" i="26"/>
  <c r="I114" i="26" s="1"/>
  <c r="N104" i="26"/>
  <c r="I105" i="26" s="1"/>
  <c r="N95" i="26"/>
  <c r="I96" i="26" s="1"/>
  <c r="N86" i="26"/>
  <c r="I87" i="26" s="1"/>
  <c r="N77" i="26"/>
  <c r="I78" i="26" s="1"/>
  <c r="N68" i="26"/>
  <c r="I69" i="26" s="1"/>
  <c r="N59" i="26"/>
  <c r="I60" i="26" s="1"/>
  <c r="N50" i="26"/>
  <c r="I51" i="26" s="1"/>
  <c r="N41" i="26"/>
  <c r="I42" i="26" s="1"/>
  <c r="N32" i="26"/>
  <c r="I33" i="26" s="1"/>
  <c r="I24" i="26"/>
  <c r="N14" i="26"/>
  <c r="I15" i="26" s="1"/>
  <c r="C3" i="26"/>
  <c r="I204" i="26" l="1"/>
  <c r="F209" i="26"/>
  <c r="G209" i="26"/>
  <c r="H209" i="26"/>
  <c r="I209" i="26"/>
  <c r="E204" i="26"/>
  <c r="F204" i="26"/>
  <c r="G204" i="26"/>
  <c r="E209" i="26"/>
  <c r="E210" i="26" s="1"/>
  <c r="E211" i="26" l="1"/>
  <c r="E212" i="26" s="1"/>
  <c r="E213" i="26" s="1"/>
  <c r="F208" i="26"/>
  <c r="F210" i="26" l="1"/>
  <c r="G208" i="26" s="1"/>
  <c r="F211" i="26" l="1"/>
  <c r="F212" i="26" s="1"/>
  <c r="F213" i="26" s="1"/>
  <c r="G210" i="26"/>
  <c r="H208" i="26" s="1"/>
  <c r="G211" i="26" l="1"/>
  <c r="G212" i="26" s="1"/>
  <c r="G213" i="26" s="1"/>
  <c r="H210" i="26"/>
  <c r="I208" i="26" s="1"/>
  <c r="H211" i="26" l="1"/>
  <c r="H212" i="26" s="1"/>
  <c r="H213" i="26" s="1"/>
  <c r="I210" i="26"/>
  <c r="I211" i="26" s="1"/>
  <c r="I212" i="26" s="1"/>
  <c r="I213" i="26" s="1"/>
  <c r="E215" i="26" l="1"/>
  <c r="V34" i="20"/>
  <c r="P34" i="20"/>
  <c r="Q34" i="20"/>
  <c r="O34" i="20"/>
  <c r="N34" i="20"/>
  <c r="M34" i="20"/>
  <c r="L34" i="20"/>
  <c r="G326" i="20" l="1"/>
  <c r="H326" i="20"/>
  <c r="I326" i="20"/>
  <c r="J326" i="20"/>
  <c r="K326" i="20"/>
  <c r="L326" i="20"/>
  <c r="M326" i="20"/>
  <c r="N326" i="20"/>
  <c r="O326" i="20"/>
  <c r="P326" i="20"/>
  <c r="Q326" i="20"/>
  <c r="R326" i="20"/>
  <c r="S326" i="20"/>
  <c r="T326" i="20"/>
  <c r="U326" i="20"/>
  <c r="V326" i="20"/>
  <c r="W326" i="20"/>
  <c r="X326" i="20"/>
  <c r="Y326" i="20"/>
  <c r="Z326" i="20"/>
  <c r="AA326" i="20"/>
  <c r="AB326" i="20"/>
  <c r="AC326" i="20"/>
  <c r="AD326" i="20"/>
  <c r="AE326" i="20"/>
  <c r="AF326" i="20"/>
  <c r="AG326" i="20"/>
  <c r="AH326" i="20"/>
  <c r="AI326" i="20"/>
  <c r="AJ326" i="20"/>
  <c r="AK326" i="20"/>
  <c r="AL326" i="20"/>
  <c r="AM326" i="20"/>
  <c r="AN326" i="20"/>
  <c r="AO326" i="20"/>
  <c r="AP326" i="20"/>
  <c r="AQ326" i="20"/>
  <c r="AR326" i="20"/>
  <c r="AS326" i="20"/>
  <c r="AT326" i="20"/>
  <c r="AU326" i="20"/>
  <c r="AV326" i="20"/>
  <c r="AW326" i="20"/>
  <c r="AX326" i="20"/>
  <c r="AY326" i="20"/>
  <c r="AZ326" i="20"/>
  <c r="BA326" i="20"/>
  <c r="BB326" i="20"/>
  <c r="BC326" i="20"/>
  <c r="BD326" i="20"/>
  <c r="BE326" i="20"/>
  <c r="BF326" i="20"/>
  <c r="BG326" i="20"/>
  <c r="BH326" i="20"/>
  <c r="BI326" i="20"/>
  <c r="BJ326" i="20"/>
  <c r="BK326" i="20"/>
  <c r="BL326" i="20"/>
  <c r="BM326" i="20"/>
  <c r="BN326" i="20"/>
  <c r="BO326" i="20"/>
  <c r="BP326" i="20"/>
  <c r="BQ326" i="20"/>
  <c r="BR326" i="20"/>
  <c r="BS326" i="20"/>
  <c r="BT326" i="20"/>
  <c r="BU326" i="20"/>
  <c r="BV326" i="20"/>
  <c r="BW326" i="20"/>
  <c r="BX326" i="20"/>
  <c r="BY326" i="20"/>
  <c r="BZ326" i="20"/>
  <c r="CA326" i="20"/>
  <c r="CB326" i="20"/>
  <c r="CC326" i="20"/>
  <c r="CD326" i="20"/>
  <c r="CE326" i="20"/>
  <c r="CF326" i="20"/>
  <c r="CG326" i="20"/>
  <c r="CH326" i="20"/>
  <c r="CI326" i="20"/>
  <c r="G327" i="20"/>
  <c r="H327" i="20"/>
  <c r="I327" i="20"/>
  <c r="J327" i="20"/>
  <c r="K327" i="20"/>
  <c r="L327" i="20"/>
  <c r="M327" i="20"/>
  <c r="N327" i="20"/>
  <c r="O327" i="20"/>
  <c r="P327" i="20"/>
  <c r="Q327" i="20"/>
  <c r="R327" i="20"/>
  <c r="S327" i="20"/>
  <c r="T327" i="20"/>
  <c r="U327" i="20"/>
  <c r="V327" i="20"/>
  <c r="W327" i="20"/>
  <c r="X327" i="20"/>
  <c r="Y327" i="20"/>
  <c r="Z327" i="20"/>
  <c r="AA327" i="20"/>
  <c r="AB327" i="20"/>
  <c r="AC327" i="20"/>
  <c r="AD327" i="20"/>
  <c r="AE327" i="20"/>
  <c r="AF327" i="20"/>
  <c r="AG327" i="20"/>
  <c r="AH327" i="20"/>
  <c r="AI327" i="20"/>
  <c r="AJ327" i="20"/>
  <c r="AK327" i="20"/>
  <c r="AL327" i="20"/>
  <c r="AM327" i="20"/>
  <c r="AN327" i="20"/>
  <c r="AO327" i="20"/>
  <c r="AP327" i="20"/>
  <c r="AQ327" i="20"/>
  <c r="AR327" i="20"/>
  <c r="AS327" i="20"/>
  <c r="AT327" i="20"/>
  <c r="AU327" i="20"/>
  <c r="AV327" i="20"/>
  <c r="AW327" i="20"/>
  <c r="AX327" i="20"/>
  <c r="AY327" i="20"/>
  <c r="AZ327" i="20"/>
  <c r="BA327" i="20"/>
  <c r="BB327" i="20"/>
  <c r="BC327" i="20"/>
  <c r="BD327" i="20"/>
  <c r="BE327" i="20"/>
  <c r="BF327" i="20"/>
  <c r="BG327" i="20"/>
  <c r="BH327" i="20"/>
  <c r="BI327" i="20"/>
  <c r="BJ327" i="20"/>
  <c r="BK327" i="20"/>
  <c r="BL327" i="20"/>
  <c r="BM327" i="20"/>
  <c r="BN327" i="20"/>
  <c r="BO327" i="20"/>
  <c r="BP327" i="20"/>
  <c r="BQ327" i="20"/>
  <c r="BR327" i="20"/>
  <c r="BS327" i="20"/>
  <c r="BT327" i="20"/>
  <c r="BU327" i="20"/>
  <c r="BV327" i="20"/>
  <c r="BW327" i="20"/>
  <c r="BX327" i="20"/>
  <c r="BY327" i="20"/>
  <c r="BZ327" i="20"/>
  <c r="CA327" i="20"/>
  <c r="CB327" i="20"/>
  <c r="CC327" i="20"/>
  <c r="CD327" i="20"/>
  <c r="CE327" i="20"/>
  <c r="CF327" i="20"/>
  <c r="CG327" i="20"/>
  <c r="CH327" i="20"/>
  <c r="CI327" i="20"/>
  <c r="G328" i="20"/>
  <c r="H328" i="20"/>
  <c r="I328" i="20"/>
  <c r="J328" i="20"/>
  <c r="K328" i="20"/>
  <c r="L328" i="20"/>
  <c r="M328" i="20"/>
  <c r="N328" i="20"/>
  <c r="O328" i="20"/>
  <c r="P328" i="20"/>
  <c r="Q328" i="20"/>
  <c r="R328" i="20"/>
  <c r="S328" i="20"/>
  <c r="T328" i="20"/>
  <c r="U328" i="20"/>
  <c r="V328" i="20"/>
  <c r="W328" i="20"/>
  <c r="X328" i="20"/>
  <c r="Y328" i="20"/>
  <c r="Z328" i="20"/>
  <c r="AA328" i="20"/>
  <c r="AB328" i="20"/>
  <c r="AC328" i="20"/>
  <c r="AD328" i="20"/>
  <c r="AE328" i="20"/>
  <c r="AF328" i="20"/>
  <c r="AG328" i="20"/>
  <c r="AH328" i="20"/>
  <c r="AI328" i="20"/>
  <c r="AJ328" i="20"/>
  <c r="AK328" i="20"/>
  <c r="AL328" i="20"/>
  <c r="AM328" i="20"/>
  <c r="AN328" i="20"/>
  <c r="AO328" i="20"/>
  <c r="AP328" i="20"/>
  <c r="AQ328" i="20"/>
  <c r="AR328" i="20"/>
  <c r="AS328" i="20"/>
  <c r="AT328" i="20"/>
  <c r="AU328" i="20"/>
  <c r="AV328" i="20"/>
  <c r="AW328" i="20"/>
  <c r="AX328" i="20"/>
  <c r="AY328" i="20"/>
  <c r="AZ328" i="20"/>
  <c r="BA328" i="20"/>
  <c r="BB328" i="20"/>
  <c r="BC328" i="20"/>
  <c r="BD328" i="20"/>
  <c r="BE328" i="20"/>
  <c r="BF328" i="20"/>
  <c r="BG328" i="20"/>
  <c r="BH328" i="20"/>
  <c r="BI328" i="20"/>
  <c r="BJ328" i="20"/>
  <c r="BK328" i="20"/>
  <c r="BL328" i="20"/>
  <c r="BM328" i="20"/>
  <c r="BN328" i="20"/>
  <c r="BO328" i="20"/>
  <c r="BP328" i="20"/>
  <c r="BQ328" i="20"/>
  <c r="BR328" i="20"/>
  <c r="BS328" i="20"/>
  <c r="BT328" i="20"/>
  <c r="BU328" i="20"/>
  <c r="BV328" i="20"/>
  <c r="BW328" i="20"/>
  <c r="BX328" i="20"/>
  <c r="BY328" i="20"/>
  <c r="BZ328" i="20"/>
  <c r="CA328" i="20"/>
  <c r="CB328" i="20"/>
  <c r="CC328" i="20"/>
  <c r="CD328" i="20"/>
  <c r="CE328" i="20"/>
  <c r="CF328" i="20"/>
  <c r="CG328" i="20"/>
  <c r="CH328" i="20"/>
  <c r="CI328" i="20"/>
  <c r="G329" i="20"/>
  <c r="H329" i="20"/>
  <c r="I329" i="20"/>
  <c r="J329" i="20"/>
  <c r="K329" i="20"/>
  <c r="L329" i="20"/>
  <c r="M329" i="20"/>
  <c r="N329" i="20"/>
  <c r="O329" i="20"/>
  <c r="P329" i="20"/>
  <c r="Q329" i="20"/>
  <c r="R329" i="20"/>
  <c r="S329" i="20"/>
  <c r="T329" i="20"/>
  <c r="U329" i="20"/>
  <c r="V329" i="20"/>
  <c r="W329" i="20"/>
  <c r="X329" i="20"/>
  <c r="Y329" i="20"/>
  <c r="Z329" i="20"/>
  <c r="AA329" i="20"/>
  <c r="AB329" i="20"/>
  <c r="AC329" i="20"/>
  <c r="AD329" i="20"/>
  <c r="AE329" i="20"/>
  <c r="AF329" i="20"/>
  <c r="AG329" i="20"/>
  <c r="AH329" i="20"/>
  <c r="AI329" i="20"/>
  <c r="AJ329" i="20"/>
  <c r="AK329" i="20"/>
  <c r="AL329" i="20"/>
  <c r="AM329" i="20"/>
  <c r="AN329" i="20"/>
  <c r="AO329" i="20"/>
  <c r="AP329" i="20"/>
  <c r="AQ329" i="20"/>
  <c r="AR329" i="20"/>
  <c r="AS329" i="20"/>
  <c r="AT329" i="20"/>
  <c r="AU329" i="20"/>
  <c r="AV329" i="20"/>
  <c r="AW329" i="20"/>
  <c r="AX329" i="20"/>
  <c r="AY329" i="20"/>
  <c r="AZ329" i="20"/>
  <c r="BA329" i="20"/>
  <c r="BB329" i="20"/>
  <c r="BC329" i="20"/>
  <c r="BD329" i="20"/>
  <c r="BE329" i="20"/>
  <c r="BF329" i="20"/>
  <c r="BG329" i="20"/>
  <c r="BH329" i="20"/>
  <c r="BI329" i="20"/>
  <c r="BJ329" i="20"/>
  <c r="BK329" i="20"/>
  <c r="BL329" i="20"/>
  <c r="BM329" i="20"/>
  <c r="BN329" i="20"/>
  <c r="BO329" i="20"/>
  <c r="BP329" i="20"/>
  <c r="BQ329" i="20"/>
  <c r="BR329" i="20"/>
  <c r="BS329" i="20"/>
  <c r="BT329" i="20"/>
  <c r="BU329" i="20"/>
  <c r="BV329" i="20"/>
  <c r="BW329" i="20"/>
  <c r="BX329" i="20"/>
  <c r="BY329" i="20"/>
  <c r="BZ329" i="20"/>
  <c r="CA329" i="20"/>
  <c r="CB329" i="20"/>
  <c r="CC329" i="20"/>
  <c r="CD329" i="20"/>
  <c r="CE329" i="20"/>
  <c r="CF329" i="20"/>
  <c r="CG329" i="20"/>
  <c r="CH329" i="20"/>
  <c r="CI329" i="20"/>
  <c r="G330" i="20"/>
  <c r="H330" i="20"/>
  <c r="I330" i="20"/>
  <c r="J330" i="20"/>
  <c r="K330" i="20"/>
  <c r="L330" i="20"/>
  <c r="M330" i="20"/>
  <c r="N330" i="20"/>
  <c r="O330" i="20"/>
  <c r="P330" i="20"/>
  <c r="Q330" i="20"/>
  <c r="R330" i="20"/>
  <c r="S330" i="20"/>
  <c r="T330" i="20"/>
  <c r="U330" i="20"/>
  <c r="V330" i="20"/>
  <c r="W330" i="20"/>
  <c r="X330" i="20"/>
  <c r="Y330" i="20"/>
  <c r="Z330" i="20"/>
  <c r="AA330" i="20"/>
  <c r="AB330" i="20"/>
  <c r="AD330" i="20"/>
  <c r="AE330" i="20"/>
  <c r="AF330" i="20"/>
  <c r="AG330" i="20"/>
  <c r="AH330" i="20"/>
  <c r="AI330" i="20"/>
  <c r="AJ330" i="20"/>
  <c r="AK330" i="20"/>
  <c r="AL330" i="20"/>
  <c r="AM330" i="20"/>
  <c r="AN330" i="20"/>
  <c r="AO330" i="20"/>
  <c r="AP330" i="20"/>
  <c r="AQ330" i="20"/>
  <c r="AR330" i="20"/>
  <c r="AS330" i="20"/>
  <c r="AT330" i="20"/>
  <c r="AU330" i="20"/>
  <c r="AV330" i="20"/>
  <c r="AW330" i="20"/>
  <c r="AX330" i="20"/>
  <c r="AY330" i="20"/>
  <c r="AZ330" i="20"/>
  <c r="BA330" i="20"/>
  <c r="BB330" i="20"/>
  <c r="BC330" i="20"/>
  <c r="BD330" i="20"/>
  <c r="BE330" i="20"/>
  <c r="BF330" i="20"/>
  <c r="BG330" i="20"/>
  <c r="BH330" i="20"/>
  <c r="BI330" i="20"/>
  <c r="BJ330" i="20"/>
  <c r="BK330" i="20"/>
  <c r="BL330" i="20"/>
  <c r="BM330" i="20"/>
  <c r="BN330" i="20"/>
  <c r="BO330" i="20"/>
  <c r="BP330" i="20"/>
  <c r="BQ330" i="20"/>
  <c r="BR330" i="20"/>
  <c r="BS330" i="20"/>
  <c r="BT330" i="20"/>
  <c r="BU330" i="20"/>
  <c r="BV330" i="20"/>
  <c r="BW330" i="20"/>
  <c r="BX330" i="20"/>
  <c r="BY330" i="20"/>
  <c r="BZ330" i="20"/>
  <c r="CA330" i="20"/>
  <c r="CB330" i="20"/>
  <c r="CC330" i="20"/>
  <c r="CD330" i="20"/>
  <c r="CE330" i="20"/>
  <c r="CF330" i="20"/>
  <c r="CG330" i="20"/>
  <c r="CH330" i="20"/>
  <c r="CI330" i="20"/>
  <c r="G331" i="20"/>
  <c r="H331" i="20"/>
  <c r="I331" i="20"/>
  <c r="J331" i="20"/>
  <c r="K331" i="20"/>
  <c r="L331" i="20"/>
  <c r="M331" i="20"/>
  <c r="N331" i="20"/>
  <c r="O331" i="20"/>
  <c r="P331" i="20"/>
  <c r="Q331" i="20"/>
  <c r="R331" i="20"/>
  <c r="S331" i="20"/>
  <c r="T331" i="20"/>
  <c r="U331" i="20"/>
  <c r="V331" i="20"/>
  <c r="W331" i="20"/>
  <c r="X331" i="20"/>
  <c r="Y331" i="20"/>
  <c r="Z331" i="20"/>
  <c r="AA331" i="20"/>
  <c r="AB331" i="20"/>
  <c r="AC331" i="20"/>
  <c r="AD331" i="20"/>
  <c r="AE331" i="20"/>
  <c r="AF331" i="20"/>
  <c r="AG331" i="20"/>
  <c r="AH331" i="20"/>
  <c r="AI331" i="20"/>
  <c r="AJ331" i="20"/>
  <c r="AK331" i="20"/>
  <c r="AL331" i="20"/>
  <c r="AM331" i="20"/>
  <c r="AN331" i="20"/>
  <c r="AO331" i="20"/>
  <c r="AP331" i="20"/>
  <c r="AQ331" i="20"/>
  <c r="AR331" i="20"/>
  <c r="AS331" i="20"/>
  <c r="AT331" i="20"/>
  <c r="AU331" i="20"/>
  <c r="AV331" i="20"/>
  <c r="AW331" i="20"/>
  <c r="AX331" i="20"/>
  <c r="AY331" i="20"/>
  <c r="AZ331" i="20"/>
  <c r="BA331" i="20"/>
  <c r="BB331" i="20"/>
  <c r="BC331" i="20"/>
  <c r="BD331" i="20"/>
  <c r="BE331" i="20"/>
  <c r="BF331" i="20"/>
  <c r="BG331" i="20"/>
  <c r="BH331" i="20"/>
  <c r="BI331" i="20"/>
  <c r="BJ331" i="20"/>
  <c r="BK331" i="20"/>
  <c r="BL331" i="20"/>
  <c r="BM331" i="20"/>
  <c r="BN331" i="20"/>
  <c r="BO331" i="20"/>
  <c r="BP331" i="20"/>
  <c r="BQ331" i="20"/>
  <c r="BR331" i="20"/>
  <c r="BS331" i="20"/>
  <c r="BT331" i="20"/>
  <c r="BU331" i="20"/>
  <c r="BV331" i="20"/>
  <c r="BW331" i="20"/>
  <c r="BX331" i="20"/>
  <c r="BY331" i="20"/>
  <c r="BZ331" i="20"/>
  <c r="CA331" i="20"/>
  <c r="CB331" i="20"/>
  <c r="CC331" i="20"/>
  <c r="CD331" i="20"/>
  <c r="CE331" i="20"/>
  <c r="CF331" i="20"/>
  <c r="CG331" i="20"/>
  <c r="CH331" i="20"/>
  <c r="CI331" i="20"/>
  <c r="H43" i="15" l="1"/>
  <c r="I43" i="15"/>
  <c r="J43" i="15"/>
  <c r="K43" i="15"/>
  <c r="L43" i="15"/>
  <c r="G43" i="15"/>
  <c r="N147" i="20" l="1"/>
  <c r="AC216" i="20" l="1"/>
  <c r="AD216" i="20"/>
  <c r="AE216" i="20"/>
  <c r="AF216" i="20"/>
  <c r="AG216" i="20"/>
  <c r="AH216" i="20"/>
  <c r="AI216" i="20"/>
  <c r="AJ216" i="20"/>
  <c r="AK216" i="20"/>
  <c r="AL216" i="20"/>
  <c r="AM216" i="20"/>
  <c r="AN216" i="20"/>
  <c r="AO216" i="20"/>
  <c r="AP216" i="20"/>
  <c r="AQ216" i="20"/>
  <c r="AR216" i="20"/>
  <c r="AS216" i="20"/>
  <c r="AT216" i="20"/>
  <c r="AU216" i="20"/>
  <c r="AV216" i="20"/>
  <c r="AW216" i="20"/>
  <c r="AX216" i="20"/>
  <c r="AY216" i="20"/>
  <c r="AZ216" i="20"/>
  <c r="BA216" i="20"/>
  <c r="BB216" i="20"/>
  <c r="BC216" i="20"/>
  <c r="BD216" i="20"/>
  <c r="BE216" i="20"/>
  <c r="BF216" i="20"/>
  <c r="BG216" i="20"/>
  <c r="BH216" i="20"/>
  <c r="BI216" i="20"/>
  <c r="BJ216" i="20"/>
  <c r="BK216" i="20"/>
  <c r="BL216" i="20"/>
  <c r="BM216" i="20"/>
  <c r="BN216" i="20"/>
  <c r="BO216" i="20"/>
  <c r="BP216" i="20"/>
  <c r="BQ216" i="20"/>
  <c r="BR216" i="20"/>
  <c r="BS216" i="20"/>
  <c r="BT216" i="20"/>
  <c r="BU216" i="20"/>
  <c r="BV216" i="20"/>
  <c r="BW216" i="20"/>
  <c r="BX216" i="20"/>
  <c r="BY216" i="20"/>
  <c r="BZ216" i="20"/>
  <c r="CA216" i="20"/>
  <c r="CB216" i="20"/>
  <c r="CC216" i="20"/>
  <c r="CD216" i="20"/>
  <c r="CE216" i="20"/>
  <c r="CF216" i="20"/>
  <c r="CG216" i="20"/>
  <c r="CH216" i="20"/>
  <c r="CI216" i="20"/>
  <c r="AB216" i="20"/>
  <c r="N214" i="20"/>
  <c r="O214" i="20"/>
  <c r="P214" i="20"/>
  <c r="Q214" i="20"/>
  <c r="R214" i="20"/>
  <c r="S214" i="20"/>
  <c r="T214" i="20"/>
  <c r="U214" i="20"/>
  <c r="V214" i="20"/>
  <c r="W214" i="20"/>
  <c r="X214" i="20"/>
  <c r="Y214" i="20"/>
  <c r="Z214" i="20"/>
  <c r="AA214" i="20"/>
  <c r="AB214" i="20"/>
  <c r="AC214" i="20"/>
  <c r="AD214" i="20"/>
  <c r="AE214" i="20"/>
  <c r="AF214" i="20"/>
  <c r="AG214" i="20"/>
  <c r="AH214" i="20"/>
  <c r="AI214" i="20"/>
  <c r="AJ214" i="20"/>
  <c r="AK214" i="20"/>
  <c r="AL214" i="20"/>
  <c r="AM214" i="20"/>
  <c r="AN214" i="20"/>
  <c r="AO214" i="20"/>
  <c r="AP214" i="20"/>
  <c r="AQ214" i="20"/>
  <c r="AR214" i="20"/>
  <c r="AS214" i="20"/>
  <c r="AT214" i="20"/>
  <c r="AU214" i="20"/>
  <c r="AV214" i="20"/>
  <c r="AW214" i="20"/>
  <c r="AX214" i="20"/>
  <c r="AY214" i="20"/>
  <c r="AZ214" i="20"/>
  <c r="BA214" i="20"/>
  <c r="BB214" i="20"/>
  <c r="BC214" i="20"/>
  <c r="BD214" i="20"/>
  <c r="BE214" i="20"/>
  <c r="BF214" i="20"/>
  <c r="BG214" i="20"/>
  <c r="BH214" i="20"/>
  <c r="BI214" i="20"/>
  <c r="BJ214" i="20"/>
  <c r="BK214" i="20"/>
  <c r="BL214" i="20"/>
  <c r="BM214" i="20"/>
  <c r="BN214" i="20"/>
  <c r="BO214" i="20"/>
  <c r="BP214" i="20"/>
  <c r="BQ214" i="20"/>
  <c r="BR214" i="20"/>
  <c r="BS214" i="20"/>
  <c r="BT214" i="20"/>
  <c r="BU214" i="20"/>
  <c r="BV214" i="20"/>
  <c r="BW214" i="20"/>
  <c r="BX214" i="20"/>
  <c r="BY214" i="20"/>
  <c r="BZ214" i="20"/>
  <c r="CA214" i="20"/>
  <c r="CB214" i="20"/>
  <c r="CC214" i="20"/>
  <c r="CD214" i="20"/>
  <c r="CE214" i="20"/>
  <c r="CF214" i="20"/>
  <c r="CG214" i="20"/>
  <c r="CH214" i="20"/>
  <c r="CI214" i="20"/>
  <c r="N215" i="20"/>
  <c r="O215" i="20"/>
  <c r="P215" i="20"/>
  <c r="Q215" i="20"/>
  <c r="M215" i="20"/>
  <c r="M214" i="20"/>
  <c r="AI34" i="20" l="1"/>
  <c r="AI215" i="20" s="1"/>
  <c r="AJ34" i="20"/>
  <c r="AJ215" i="20" s="1"/>
  <c r="AK34" i="20"/>
  <c r="AK215" i="20" s="1"/>
  <c r="AL34" i="20"/>
  <c r="AL215" i="20" s="1"/>
  <c r="AM34" i="20"/>
  <c r="AM215" i="20" s="1"/>
  <c r="AN34" i="20"/>
  <c r="AN215" i="20" s="1"/>
  <c r="AO34" i="20"/>
  <c r="AO215" i="20" s="1"/>
  <c r="AP34" i="20"/>
  <c r="AP215" i="20" s="1"/>
  <c r="AQ34" i="20"/>
  <c r="AQ215" i="20" s="1"/>
  <c r="AR34" i="20"/>
  <c r="AR215" i="20" s="1"/>
  <c r="AS34" i="20"/>
  <c r="AS215" i="20" s="1"/>
  <c r="AT34" i="20"/>
  <c r="AT215" i="20" s="1"/>
  <c r="AU34" i="20"/>
  <c r="AU215" i="20" s="1"/>
  <c r="AV34" i="20"/>
  <c r="AV215" i="20" s="1"/>
  <c r="AW34" i="20"/>
  <c r="AW215" i="20" s="1"/>
  <c r="AX34" i="20"/>
  <c r="AX215" i="20" s="1"/>
  <c r="AY34" i="20"/>
  <c r="AY215" i="20" s="1"/>
  <c r="AZ34" i="20"/>
  <c r="AZ215" i="20" s="1"/>
  <c r="BA34" i="20"/>
  <c r="BA215" i="20" s="1"/>
  <c r="BB34" i="20"/>
  <c r="BB215" i="20" s="1"/>
  <c r="BC34" i="20"/>
  <c r="BC215" i="20" s="1"/>
  <c r="BD34" i="20"/>
  <c r="BD215" i="20" s="1"/>
  <c r="BE34" i="20"/>
  <c r="BE215" i="20" s="1"/>
  <c r="BF34" i="20"/>
  <c r="BF215" i="20" s="1"/>
  <c r="BG34" i="20"/>
  <c r="BG215" i="20" s="1"/>
  <c r="BH34" i="20"/>
  <c r="BH215" i="20" s="1"/>
  <c r="BI34" i="20"/>
  <c r="BI215" i="20" s="1"/>
  <c r="BJ34" i="20"/>
  <c r="BJ215" i="20" s="1"/>
  <c r="BK34" i="20"/>
  <c r="BK215" i="20" s="1"/>
  <c r="BL34" i="20"/>
  <c r="BL215" i="20" s="1"/>
  <c r="BM34" i="20"/>
  <c r="BM215" i="20" s="1"/>
  <c r="BN34" i="20"/>
  <c r="BN215" i="20" s="1"/>
  <c r="BO34" i="20"/>
  <c r="BO215" i="20" s="1"/>
  <c r="BP34" i="20"/>
  <c r="BP215" i="20" s="1"/>
  <c r="BQ34" i="20"/>
  <c r="BQ215" i="20" s="1"/>
  <c r="BR34" i="20"/>
  <c r="BR215" i="20" s="1"/>
  <c r="BS34" i="20"/>
  <c r="BS215" i="20" s="1"/>
  <c r="BT34" i="20"/>
  <c r="BT215" i="20" s="1"/>
  <c r="BU34" i="20"/>
  <c r="BU215" i="20" s="1"/>
  <c r="BV34" i="20"/>
  <c r="BV215" i="20" s="1"/>
  <c r="BW34" i="20"/>
  <c r="BW215" i="20" s="1"/>
  <c r="BX34" i="20"/>
  <c r="BX215" i="20" s="1"/>
  <c r="BY34" i="20"/>
  <c r="BY215" i="20" s="1"/>
  <c r="BZ34" i="20"/>
  <c r="BZ215" i="20" s="1"/>
  <c r="CA34" i="20"/>
  <c r="CA215" i="20" s="1"/>
  <c r="CB34" i="20"/>
  <c r="CB215" i="20" s="1"/>
  <c r="CC34" i="20"/>
  <c r="CC215" i="20" s="1"/>
  <c r="CD34" i="20"/>
  <c r="CD215" i="20" s="1"/>
  <c r="CE34" i="20"/>
  <c r="CE215" i="20" s="1"/>
  <c r="CF34" i="20"/>
  <c r="CF215" i="20" s="1"/>
  <c r="CG34" i="20"/>
  <c r="CG215" i="20" s="1"/>
  <c r="CH34" i="20"/>
  <c r="CH215" i="20" s="1"/>
  <c r="CI34" i="20"/>
  <c r="CI215" i="20" s="1"/>
  <c r="AB34" i="20"/>
  <c r="AB215" i="20" s="1"/>
  <c r="AC34" i="20"/>
  <c r="AC215" i="20" s="1"/>
  <c r="AD34" i="20"/>
  <c r="AD215" i="20" s="1"/>
  <c r="AE34" i="20"/>
  <c r="AE215" i="20" s="1"/>
  <c r="AF34" i="20"/>
  <c r="AF215" i="20" s="1"/>
  <c r="AG34" i="20"/>
  <c r="AG215" i="20" s="1"/>
  <c r="AH34" i="20"/>
  <c r="AH215" i="20" s="1"/>
  <c r="H178" i="20"/>
  <c r="G123" i="20" l="1"/>
  <c r="G124" i="20"/>
  <c r="G125" i="20"/>
  <c r="G126" i="20"/>
  <c r="G127" i="20"/>
  <c r="G129" i="20"/>
  <c r="G133" i="20"/>
  <c r="G135" i="20"/>
  <c r="G136" i="20"/>
  <c r="G137" i="20"/>
  <c r="G138" i="20"/>
  <c r="G143" i="20"/>
  <c r="G144" i="20"/>
  <c r="G145" i="20"/>
  <c r="G146" i="20"/>
  <c r="G147" i="20"/>
  <c r="G148" i="20"/>
  <c r="G149" i="20"/>
  <c r="G150" i="20"/>
  <c r="G166" i="20"/>
  <c r="G70" i="15" l="1"/>
  <c r="G72" i="15"/>
  <c r="G175" i="20"/>
  <c r="G151" i="20"/>
  <c r="G140" i="20"/>
  <c r="G141" i="20"/>
  <c r="G139" i="20"/>
  <c r="G142" i="20"/>
  <c r="G152" i="20" l="1"/>
  <c r="G73" i="15"/>
  <c r="I10" i="3"/>
  <c r="W43" i="15" l="1"/>
  <c r="AC117" i="20"/>
  <c r="X43" i="15" l="1"/>
  <c r="G29" i="15"/>
  <c r="H29" i="15"/>
  <c r="I29" i="15"/>
  <c r="J29" i="15"/>
  <c r="K29" i="15"/>
  <c r="L29" i="15"/>
  <c r="M29" i="15"/>
  <c r="N29" i="15"/>
  <c r="O29" i="15"/>
  <c r="P29" i="15"/>
  <c r="Q29" i="15"/>
  <c r="R29" i="15"/>
  <c r="S29" i="15"/>
  <c r="T29" i="15"/>
  <c r="U29" i="15"/>
  <c r="V29" i="15"/>
  <c r="W29" i="15"/>
  <c r="X29" i="15"/>
  <c r="Y29" i="15"/>
  <c r="Z29" i="15"/>
  <c r="AA29" i="15"/>
  <c r="AB29" i="15"/>
  <c r="AC29" i="15"/>
  <c r="AD29" i="15"/>
  <c r="AE29" i="15"/>
  <c r="AF29" i="15"/>
  <c r="AG29" i="15"/>
  <c r="AH29" i="15"/>
  <c r="AI29" i="15"/>
  <c r="AJ29" i="15"/>
  <c r="AK29" i="15"/>
  <c r="AL29" i="15"/>
  <c r="AM29" i="15"/>
  <c r="AN29" i="15"/>
  <c r="AO29" i="15"/>
  <c r="AP29" i="15"/>
  <c r="AQ29" i="15"/>
  <c r="AR29" i="15"/>
  <c r="AS29" i="15"/>
  <c r="AT29" i="15"/>
  <c r="AU29" i="15"/>
  <c r="AV29" i="15"/>
  <c r="AW29" i="15"/>
  <c r="AX29" i="15"/>
  <c r="AY29" i="15"/>
  <c r="AZ29" i="15"/>
  <c r="BA29" i="15"/>
  <c r="BB29" i="15"/>
  <c r="BC29" i="15"/>
  <c r="BD29" i="15"/>
  <c r="BE29" i="15"/>
  <c r="BF29" i="15"/>
  <c r="BG29" i="15"/>
  <c r="BH29" i="15"/>
  <c r="BI29" i="15"/>
  <c r="BJ29" i="15"/>
  <c r="BK29" i="15"/>
  <c r="BL29" i="15"/>
  <c r="BM29" i="15"/>
  <c r="BN29" i="15"/>
  <c r="BO29" i="15"/>
  <c r="BP29" i="15"/>
  <c r="BQ29" i="15"/>
  <c r="BR29" i="15"/>
  <c r="BS29" i="15"/>
  <c r="BT29" i="15"/>
  <c r="BU29" i="15"/>
  <c r="BV29" i="15"/>
  <c r="BW29" i="15"/>
  <c r="BX29" i="15"/>
  <c r="BY29" i="15"/>
  <c r="BZ29" i="15"/>
  <c r="CA29" i="15"/>
  <c r="CB29" i="15"/>
  <c r="CC29" i="15"/>
  <c r="CD29" i="15"/>
  <c r="CE29" i="15"/>
  <c r="CF29" i="15"/>
  <c r="CG29" i="15"/>
  <c r="CH29" i="15"/>
  <c r="CI29" i="15"/>
  <c r="Y43" i="15" l="1"/>
  <c r="U43" i="15"/>
  <c r="R43" i="15"/>
  <c r="B32" i="18"/>
  <c r="B27" i="18"/>
  <c r="B28" i="18"/>
  <c r="B29" i="18"/>
  <c r="B31" i="18"/>
  <c r="B30" i="18"/>
  <c r="R34" i="20"/>
  <c r="R215" i="20" s="1"/>
  <c r="S34" i="20"/>
  <c r="S215" i="20" s="1"/>
  <c r="T34" i="20"/>
  <c r="T215" i="20" s="1"/>
  <c r="U34" i="20"/>
  <c r="U215" i="20" s="1"/>
  <c r="V215" i="20"/>
  <c r="G32" i="20"/>
  <c r="G41" i="20" s="1"/>
  <c r="W34" i="20"/>
  <c r="W215" i="20" s="1"/>
  <c r="X34" i="20"/>
  <c r="X215" i="20" s="1"/>
  <c r="Y34" i="20"/>
  <c r="Y215" i="20" s="1"/>
  <c r="Z34" i="20"/>
  <c r="Z215" i="20" s="1"/>
  <c r="AA34" i="20"/>
  <c r="AA215" i="20" s="1"/>
  <c r="H32" i="20"/>
  <c r="I32" i="20"/>
  <c r="J32" i="20"/>
  <c r="K32" i="20"/>
  <c r="L32" i="20"/>
  <c r="M32" i="20"/>
  <c r="N32" i="20"/>
  <c r="O32" i="20"/>
  <c r="P32" i="20"/>
  <c r="Q32" i="20"/>
  <c r="S43" i="15" l="1"/>
  <c r="T43" i="15"/>
  <c r="S32" i="20"/>
  <c r="V43" i="15"/>
  <c r="N43" i="15"/>
  <c r="O43" i="15"/>
  <c r="P43" i="15"/>
  <c r="Q43" i="15"/>
  <c r="M43" i="15"/>
  <c r="Z43" i="15"/>
  <c r="M27" i="20"/>
  <c r="M29" i="20"/>
  <c r="N29" i="20" l="1"/>
  <c r="O29" i="20" s="1"/>
  <c r="P29" i="20" s="1"/>
  <c r="Q29" i="20" s="1"/>
  <c r="R29" i="20" s="1"/>
  <c r="S29" i="20" s="1"/>
  <c r="T29" i="20" s="1"/>
  <c r="U29" i="20" s="1"/>
  <c r="V29" i="20" s="1"/>
  <c r="W29" i="20" s="1"/>
  <c r="X29" i="20" s="1"/>
  <c r="Y29" i="20" s="1"/>
  <c r="Z29" i="20" s="1"/>
  <c r="AA29" i="20" s="1"/>
  <c r="AB29" i="20" s="1"/>
  <c r="AC29" i="20" s="1"/>
  <c r="AD29" i="20" s="1"/>
  <c r="AE29" i="20" s="1"/>
  <c r="AF29" i="20" s="1"/>
  <c r="AG29" i="20" s="1"/>
  <c r="AH29" i="20" s="1"/>
  <c r="AI29" i="20" s="1"/>
  <c r="AJ29" i="20" s="1"/>
  <c r="AK29" i="20" s="1"/>
  <c r="AL29" i="20" s="1"/>
  <c r="AM29" i="20" s="1"/>
  <c r="AN29" i="20" s="1"/>
  <c r="AO29" i="20" s="1"/>
  <c r="AP29" i="20" s="1"/>
  <c r="AQ29" i="20" s="1"/>
  <c r="AR29" i="20" s="1"/>
  <c r="AS29" i="20" s="1"/>
  <c r="AT29" i="20" s="1"/>
  <c r="AU29" i="20" s="1"/>
  <c r="AV29" i="20" s="1"/>
  <c r="AW29" i="20" s="1"/>
  <c r="AX29" i="20" s="1"/>
  <c r="AY29" i="20" s="1"/>
  <c r="AZ29" i="20" s="1"/>
  <c r="BA29" i="20" s="1"/>
  <c r="BB29" i="20" s="1"/>
  <c r="BC29" i="20" s="1"/>
  <c r="BD29" i="20" s="1"/>
  <c r="BE29" i="20" s="1"/>
  <c r="BF29" i="20" s="1"/>
  <c r="BG29" i="20" s="1"/>
  <c r="BH29" i="20" s="1"/>
  <c r="BI29" i="20" s="1"/>
  <c r="BJ29" i="20" s="1"/>
  <c r="BK29" i="20" s="1"/>
  <c r="BL29" i="20" s="1"/>
  <c r="BM29" i="20" s="1"/>
  <c r="BN29" i="20" s="1"/>
  <c r="BO29" i="20" s="1"/>
  <c r="BP29" i="20" s="1"/>
  <c r="BQ29" i="20" s="1"/>
  <c r="BR29" i="20" s="1"/>
  <c r="BS29" i="20" s="1"/>
  <c r="BT29" i="20" s="1"/>
  <c r="BU29" i="20" s="1"/>
  <c r="BV29" i="20" s="1"/>
  <c r="BW29" i="20" s="1"/>
  <c r="BX29" i="20" s="1"/>
  <c r="BY29" i="20" s="1"/>
  <c r="BZ29" i="20" s="1"/>
  <c r="CA29" i="20" s="1"/>
  <c r="CB29" i="20" s="1"/>
  <c r="CC29" i="20" s="1"/>
  <c r="CD29" i="20" s="1"/>
  <c r="CE29" i="20" s="1"/>
  <c r="CF29" i="20" s="1"/>
  <c r="CG29" i="20" s="1"/>
  <c r="CH29" i="20" s="1"/>
  <c r="CI29" i="20" s="1"/>
  <c r="M127" i="20"/>
  <c r="N27" i="20"/>
  <c r="O27" i="20" s="1"/>
  <c r="P27" i="20" s="1"/>
  <c r="Q27" i="20" s="1"/>
  <c r="R27" i="20" s="1"/>
  <c r="S27" i="20" s="1"/>
  <c r="T27" i="20" s="1"/>
  <c r="U27" i="20" s="1"/>
  <c r="V27" i="20" s="1"/>
  <c r="W27" i="20" s="1"/>
  <c r="X27" i="20" s="1"/>
  <c r="Y27" i="20" s="1"/>
  <c r="Z27" i="20" s="1"/>
  <c r="AA27" i="20" s="1"/>
  <c r="AB27" i="20" s="1"/>
  <c r="AC27" i="20" s="1"/>
  <c r="AD27" i="20" s="1"/>
  <c r="AE27" i="20" s="1"/>
  <c r="AF27" i="20" s="1"/>
  <c r="AG27" i="20" s="1"/>
  <c r="AH27" i="20" s="1"/>
  <c r="AI27" i="20" s="1"/>
  <c r="AJ27" i="20" s="1"/>
  <c r="AK27" i="20" s="1"/>
  <c r="AL27" i="20" s="1"/>
  <c r="AM27" i="20" s="1"/>
  <c r="AN27" i="20" s="1"/>
  <c r="AO27" i="20" s="1"/>
  <c r="AP27" i="20" s="1"/>
  <c r="AQ27" i="20" s="1"/>
  <c r="AR27" i="20" s="1"/>
  <c r="AS27" i="20" s="1"/>
  <c r="AT27" i="20" s="1"/>
  <c r="AU27" i="20" s="1"/>
  <c r="AV27" i="20" s="1"/>
  <c r="AW27" i="20" s="1"/>
  <c r="AX27" i="20" s="1"/>
  <c r="AY27" i="20" s="1"/>
  <c r="AZ27" i="20" s="1"/>
  <c r="BA27" i="20" s="1"/>
  <c r="BB27" i="20" s="1"/>
  <c r="BC27" i="20" s="1"/>
  <c r="BD27" i="20" s="1"/>
  <c r="BE27" i="20" s="1"/>
  <c r="BF27" i="20" s="1"/>
  <c r="BG27" i="20" s="1"/>
  <c r="BH27" i="20" s="1"/>
  <c r="BI27" i="20" s="1"/>
  <c r="BJ27" i="20" s="1"/>
  <c r="BK27" i="20" s="1"/>
  <c r="BL27" i="20" s="1"/>
  <c r="BM27" i="20" s="1"/>
  <c r="BN27" i="20" s="1"/>
  <c r="BO27" i="20" s="1"/>
  <c r="BP27" i="20" s="1"/>
  <c r="BQ27" i="20" s="1"/>
  <c r="BR27" i="20" s="1"/>
  <c r="BS27" i="20" s="1"/>
  <c r="BT27" i="20" s="1"/>
  <c r="BU27" i="20" s="1"/>
  <c r="BV27" i="20" s="1"/>
  <c r="BW27" i="20" s="1"/>
  <c r="BX27" i="20" s="1"/>
  <c r="BY27" i="20" s="1"/>
  <c r="BZ27" i="20" s="1"/>
  <c r="CA27" i="20" s="1"/>
  <c r="CB27" i="20" s="1"/>
  <c r="CC27" i="20" s="1"/>
  <c r="CD27" i="20" s="1"/>
  <c r="CE27" i="20" s="1"/>
  <c r="CF27" i="20" s="1"/>
  <c r="CG27" i="20" s="1"/>
  <c r="CH27" i="20" s="1"/>
  <c r="CI27" i="20" s="1"/>
  <c r="M125" i="20"/>
  <c r="AA43" i="15"/>
  <c r="AB43" i="15" l="1"/>
  <c r="AC43" i="15" l="1"/>
  <c r="L272" i="22"/>
  <c r="K272" i="22"/>
  <c r="J272" i="22"/>
  <c r="I272" i="22"/>
  <c r="H272" i="22"/>
  <c r="G272" i="22"/>
  <c r="K263" i="22"/>
  <c r="J263" i="22"/>
  <c r="I263" i="22"/>
  <c r="H263" i="22"/>
  <c r="G263" i="22"/>
  <c r="K262" i="22"/>
  <c r="J262" i="22"/>
  <c r="I262" i="22"/>
  <c r="H262" i="22"/>
  <c r="G262" i="22"/>
  <c r="AA257" i="22"/>
  <c r="Z257" i="22"/>
  <c r="Y257" i="22"/>
  <c r="X257" i="22"/>
  <c r="W257" i="22"/>
  <c r="V257" i="22"/>
  <c r="U257" i="22"/>
  <c r="T257" i="22"/>
  <c r="S257" i="22"/>
  <c r="R257" i="22"/>
  <c r="Q257" i="22"/>
  <c r="P257" i="22"/>
  <c r="O257" i="22"/>
  <c r="N257" i="22"/>
  <c r="M257" i="22"/>
  <c r="L257" i="22"/>
  <c r="K257" i="22"/>
  <c r="J257" i="22"/>
  <c r="I257" i="22"/>
  <c r="H257" i="22"/>
  <c r="G257" i="22"/>
  <c r="AA256" i="22"/>
  <c r="Z256" i="22"/>
  <c r="Y256" i="22"/>
  <c r="X256" i="22"/>
  <c r="W256" i="22"/>
  <c r="V256" i="22"/>
  <c r="U256" i="22"/>
  <c r="T256" i="22"/>
  <c r="S256" i="22"/>
  <c r="R256" i="22"/>
  <c r="Q256" i="22"/>
  <c r="P256" i="22"/>
  <c r="O256" i="22"/>
  <c r="N256" i="22"/>
  <c r="M256" i="22"/>
  <c r="L256" i="22"/>
  <c r="K256" i="22"/>
  <c r="J256" i="22"/>
  <c r="I256" i="22"/>
  <c r="H256" i="22"/>
  <c r="G256" i="22"/>
  <c r="AA255" i="22"/>
  <c r="Z255" i="22"/>
  <c r="Y255" i="22"/>
  <c r="X255" i="22"/>
  <c r="W255" i="22"/>
  <c r="V255" i="22"/>
  <c r="U255" i="22"/>
  <c r="T255" i="22"/>
  <c r="S255" i="22"/>
  <c r="R255" i="22"/>
  <c r="Q255" i="22"/>
  <c r="P255" i="22"/>
  <c r="O255" i="22"/>
  <c r="N255" i="22"/>
  <c r="M255" i="22"/>
  <c r="L255" i="22"/>
  <c r="K255" i="22"/>
  <c r="J255" i="22"/>
  <c r="I255" i="22"/>
  <c r="H255" i="22"/>
  <c r="G255" i="22"/>
  <c r="L248" i="22"/>
  <c r="K248" i="22"/>
  <c r="J248" i="22"/>
  <c r="I248" i="22"/>
  <c r="H248" i="22"/>
  <c r="G248" i="22"/>
  <c r="L239" i="22"/>
  <c r="K239" i="22"/>
  <c r="J239" i="22"/>
  <c r="I239" i="22"/>
  <c r="H239" i="22"/>
  <c r="G239" i="22"/>
  <c r="L230" i="22"/>
  <c r="K230" i="22"/>
  <c r="J230" i="22"/>
  <c r="I230" i="22"/>
  <c r="H230" i="22"/>
  <c r="G230" i="22"/>
  <c r="AA217" i="22"/>
  <c r="Z217" i="22"/>
  <c r="Y217" i="22"/>
  <c r="X217" i="22"/>
  <c r="W217" i="22"/>
  <c r="V217" i="22"/>
  <c r="U217" i="22"/>
  <c r="T217" i="22"/>
  <c r="S217" i="22"/>
  <c r="R217" i="22"/>
  <c r="Q217" i="22"/>
  <c r="P217" i="22"/>
  <c r="O217" i="22"/>
  <c r="N217" i="22"/>
  <c r="M217" i="22"/>
  <c r="L217" i="22"/>
  <c r="K217" i="22"/>
  <c r="J217" i="22"/>
  <c r="I217" i="22"/>
  <c r="H217" i="22"/>
  <c r="G217" i="22"/>
  <c r="L214" i="22"/>
  <c r="K214" i="22"/>
  <c r="J214" i="22"/>
  <c r="I214" i="22"/>
  <c r="H214" i="22"/>
  <c r="G214" i="22"/>
  <c r="L211" i="22"/>
  <c r="K211" i="22"/>
  <c r="J211" i="22"/>
  <c r="I211" i="22"/>
  <c r="H211" i="22"/>
  <c r="G211" i="22"/>
  <c r="K208" i="22"/>
  <c r="J208" i="22"/>
  <c r="I208" i="22"/>
  <c r="H208" i="22"/>
  <c r="G208" i="22"/>
  <c r="L205" i="22"/>
  <c r="K205" i="22"/>
  <c r="J205" i="22"/>
  <c r="I205" i="22"/>
  <c r="H205" i="22"/>
  <c r="G205" i="22"/>
  <c r="AA199" i="22"/>
  <c r="Z199" i="22"/>
  <c r="Y199" i="22"/>
  <c r="X199" i="22"/>
  <c r="W199" i="22"/>
  <c r="V199" i="22"/>
  <c r="U199" i="22"/>
  <c r="T199" i="22"/>
  <c r="S199" i="22"/>
  <c r="R199" i="22"/>
  <c r="Q199" i="22"/>
  <c r="P199" i="22"/>
  <c r="O199" i="22"/>
  <c r="N199" i="22"/>
  <c r="M199" i="22"/>
  <c r="L199" i="22"/>
  <c r="K199" i="22"/>
  <c r="J199" i="22"/>
  <c r="I199" i="22"/>
  <c r="H199" i="22"/>
  <c r="G199" i="22"/>
  <c r="C192" i="22"/>
  <c r="L177" i="22"/>
  <c r="K177" i="22"/>
  <c r="J177" i="22"/>
  <c r="I177" i="22"/>
  <c r="H177" i="22"/>
  <c r="G177" i="22"/>
  <c r="AA168" i="22"/>
  <c r="Z168" i="22"/>
  <c r="Y168" i="22"/>
  <c r="X168" i="22"/>
  <c r="W168" i="22"/>
  <c r="V168" i="22"/>
  <c r="U168" i="22"/>
  <c r="T168" i="22"/>
  <c r="S168" i="22"/>
  <c r="R168" i="22"/>
  <c r="Q168" i="22"/>
  <c r="P168" i="22"/>
  <c r="O168" i="22"/>
  <c r="N168" i="22"/>
  <c r="M168" i="22"/>
  <c r="K168" i="22"/>
  <c r="J168" i="22"/>
  <c r="I168" i="22"/>
  <c r="H168" i="22"/>
  <c r="G168" i="22"/>
  <c r="AA167" i="22"/>
  <c r="Z167" i="22"/>
  <c r="Y167" i="22"/>
  <c r="X167" i="22"/>
  <c r="W167" i="22"/>
  <c r="V167" i="22"/>
  <c r="U167" i="22"/>
  <c r="T167" i="22"/>
  <c r="S167" i="22"/>
  <c r="R167" i="22"/>
  <c r="Q167" i="22"/>
  <c r="P167" i="22"/>
  <c r="O167" i="22"/>
  <c r="N167" i="22"/>
  <c r="M167" i="22"/>
  <c r="K167" i="22"/>
  <c r="J167" i="22"/>
  <c r="I167" i="22"/>
  <c r="H167" i="22"/>
  <c r="G167" i="22"/>
  <c r="AA162" i="22"/>
  <c r="Z162" i="22"/>
  <c r="Y162" i="22"/>
  <c r="X162" i="22"/>
  <c r="W162" i="22"/>
  <c r="V162" i="22"/>
  <c r="U162" i="22"/>
  <c r="T162" i="22"/>
  <c r="S162" i="22"/>
  <c r="R162" i="22"/>
  <c r="Q162" i="22"/>
  <c r="P162" i="22"/>
  <c r="O162" i="22"/>
  <c r="N162" i="22"/>
  <c r="M162" i="22"/>
  <c r="L162" i="22"/>
  <c r="K162" i="22"/>
  <c r="J162" i="22"/>
  <c r="I162" i="22"/>
  <c r="H162" i="22"/>
  <c r="G162" i="22"/>
  <c r="AA161" i="22"/>
  <c r="Z161" i="22"/>
  <c r="Y161" i="22"/>
  <c r="X161" i="22"/>
  <c r="W161" i="22"/>
  <c r="V161" i="22"/>
  <c r="U161" i="22"/>
  <c r="T161" i="22"/>
  <c r="S161" i="22"/>
  <c r="R161" i="22"/>
  <c r="Q161" i="22"/>
  <c r="P161" i="22"/>
  <c r="O161" i="22"/>
  <c r="N161" i="22"/>
  <c r="M161" i="22"/>
  <c r="L161" i="22"/>
  <c r="K161" i="22"/>
  <c r="J161" i="22"/>
  <c r="I161" i="22"/>
  <c r="H161" i="22"/>
  <c r="G161" i="22"/>
  <c r="AA160" i="22"/>
  <c r="Z160" i="22"/>
  <c r="Y160" i="22"/>
  <c r="X160" i="22"/>
  <c r="W160" i="22"/>
  <c r="V160" i="22"/>
  <c r="U160" i="22"/>
  <c r="T160" i="22"/>
  <c r="S160" i="22"/>
  <c r="R160" i="22"/>
  <c r="Q160" i="22"/>
  <c r="P160" i="22"/>
  <c r="O160" i="22"/>
  <c r="N160" i="22"/>
  <c r="M160" i="22"/>
  <c r="L160" i="22"/>
  <c r="K160" i="22"/>
  <c r="J160" i="22"/>
  <c r="I160" i="22"/>
  <c r="H160" i="22"/>
  <c r="G160" i="22"/>
  <c r="L153" i="22"/>
  <c r="K153" i="22"/>
  <c r="J153" i="22"/>
  <c r="I153" i="22"/>
  <c r="H153" i="22"/>
  <c r="G153" i="22"/>
  <c r="L144" i="22"/>
  <c r="K144" i="22"/>
  <c r="J144" i="22"/>
  <c r="I144" i="22"/>
  <c r="H144" i="22"/>
  <c r="G144" i="22"/>
  <c r="L135" i="22"/>
  <c r="K135" i="22"/>
  <c r="J135" i="22"/>
  <c r="I135" i="22"/>
  <c r="H135" i="22"/>
  <c r="G135" i="22"/>
  <c r="AA122" i="22"/>
  <c r="Z122" i="22"/>
  <c r="Y122" i="22"/>
  <c r="X122" i="22"/>
  <c r="W122" i="22"/>
  <c r="V122" i="22"/>
  <c r="U122" i="22"/>
  <c r="T122" i="22"/>
  <c r="S122" i="22"/>
  <c r="R122" i="22"/>
  <c r="AA104" i="22"/>
  <c r="Z104" i="22"/>
  <c r="Y104" i="22"/>
  <c r="X104" i="22"/>
  <c r="W104" i="22"/>
  <c r="V104" i="22"/>
  <c r="Q104" i="22"/>
  <c r="P104" i="22"/>
  <c r="O104" i="22"/>
  <c r="N104" i="22"/>
  <c r="M104" i="22"/>
  <c r="L104" i="22"/>
  <c r="K104" i="22"/>
  <c r="J104" i="22"/>
  <c r="I104" i="22"/>
  <c r="H104" i="22"/>
  <c r="G104" i="22"/>
  <c r="C97" i="22"/>
  <c r="B8" i="16"/>
  <c r="B33" i="18"/>
  <c r="B11" i="18"/>
  <c r="C68" i="16"/>
  <c r="B127" i="16"/>
  <c r="B121" i="16"/>
  <c r="B114" i="16"/>
  <c r="B107" i="16"/>
  <c r="C101" i="16"/>
  <c r="B94" i="16"/>
  <c r="B88" i="16"/>
  <c r="B81" i="16"/>
  <c r="B74" i="16"/>
  <c r="B61" i="16"/>
  <c r="B55" i="16"/>
  <c r="B48" i="16"/>
  <c r="B41" i="16"/>
  <c r="C35" i="16"/>
  <c r="J169" i="22" l="1"/>
  <c r="J264" i="22"/>
  <c r="N264" i="22"/>
  <c r="V264" i="22"/>
  <c r="N169" i="22"/>
  <c r="R169" i="22"/>
  <c r="Z169" i="22"/>
  <c r="R264" i="22"/>
  <c r="Z264" i="22"/>
  <c r="AD43" i="15"/>
  <c r="G169" i="22"/>
  <c r="O169" i="22"/>
  <c r="W169" i="22"/>
  <c r="I169" i="22"/>
  <c r="Q169" i="22"/>
  <c r="Y169" i="22"/>
  <c r="M264" i="22"/>
  <c r="AA169" i="22"/>
  <c r="H258" i="22"/>
  <c r="P258" i="22"/>
  <c r="X258" i="22"/>
  <c r="L264" i="22"/>
  <c r="T264" i="22"/>
  <c r="N163" i="22"/>
  <c r="V163" i="22"/>
  <c r="I163" i="22"/>
  <c r="Q163" i="22"/>
  <c r="Y163" i="22"/>
  <c r="I258" i="22"/>
  <c r="Q258" i="22"/>
  <c r="Y258" i="22"/>
  <c r="L258" i="22"/>
  <c r="T258" i="22"/>
  <c r="R123" i="22"/>
  <c r="Z123" i="22"/>
  <c r="I264" i="22"/>
  <c r="Q264" i="22"/>
  <c r="Y264" i="22"/>
  <c r="K218" i="22"/>
  <c r="S218" i="22"/>
  <c r="AA218" i="22"/>
  <c r="T123" i="22"/>
  <c r="U264" i="22"/>
  <c r="H163" i="22"/>
  <c r="P163" i="22"/>
  <c r="X163" i="22"/>
  <c r="K258" i="22"/>
  <c r="S258" i="22"/>
  <c r="AA258" i="22"/>
  <c r="Y123" i="22"/>
  <c r="M218" i="22"/>
  <c r="U218" i="22"/>
  <c r="S123" i="22"/>
  <c r="AA123" i="22"/>
  <c r="J163" i="22"/>
  <c r="R163" i="22"/>
  <c r="Z163" i="22"/>
  <c r="G218" i="22"/>
  <c r="O218" i="22"/>
  <c r="W218" i="22"/>
  <c r="M258" i="22"/>
  <c r="U258" i="22"/>
  <c r="K163" i="22"/>
  <c r="S163" i="22"/>
  <c r="AA163" i="22"/>
  <c r="L169" i="22"/>
  <c r="T169" i="22"/>
  <c r="L218" i="22"/>
  <c r="T218" i="22"/>
  <c r="H218" i="22"/>
  <c r="P218" i="22"/>
  <c r="X218" i="22"/>
  <c r="N258" i="22"/>
  <c r="V258" i="22"/>
  <c r="G264" i="22"/>
  <c r="O264" i="22"/>
  <c r="W264" i="22"/>
  <c r="U123" i="22"/>
  <c r="L163" i="22"/>
  <c r="T163" i="22"/>
  <c r="M169" i="22"/>
  <c r="U169" i="22"/>
  <c r="N218" i="22"/>
  <c r="V218" i="22"/>
  <c r="I218" i="22"/>
  <c r="Q218" i="22"/>
  <c r="Y218" i="22"/>
  <c r="G258" i="22"/>
  <c r="O258" i="22"/>
  <c r="W258" i="22"/>
  <c r="H264" i="22"/>
  <c r="P264" i="22"/>
  <c r="X264" i="22"/>
  <c r="X123" i="22"/>
  <c r="V123" i="22"/>
  <c r="M163" i="22"/>
  <c r="U163" i="22"/>
  <c r="V169" i="22"/>
  <c r="J218" i="22"/>
  <c r="R218" i="22"/>
  <c r="Z218" i="22"/>
  <c r="W123" i="22"/>
  <c r="G163" i="22"/>
  <c r="O163" i="22"/>
  <c r="W163" i="22"/>
  <c r="H169" i="22"/>
  <c r="P169" i="22"/>
  <c r="X169" i="22"/>
  <c r="K169" i="22"/>
  <c r="S169" i="22"/>
  <c r="J258" i="22"/>
  <c r="R258" i="22"/>
  <c r="Z258" i="22"/>
  <c r="K264" i="22"/>
  <c r="S264" i="22"/>
  <c r="AA264" i="22"/>
  <c r="H10" i="3"/>
  <c r="H52" i="3"/>
  <c r="H68" i="3"/>
  <c r="H61" i="3"/>
  <c r="H42" i="3"/>
  <c r="H41" i="3"/>
  <c r="G230" i="20"/>
  <c r="G49" i="20"/>
  <c r="H65" i="22"/>
  <c r="I65" i="22"/>
  <c r="J65" i="22"/>
  <c r="K65" i="22"/>
  <c r="L65" i="22"/>
  <c r="M65" i="22"/>
  <c r="N65" i="22"/>
  <c r="O65" i="22"/>
  <c r="P65" i="22"/>
  <c r="Q65" i="22"/>
  <c r="R65" i="22"/>
  <c r="S65" i="22"/>
  <c r="T65" i="22"/>
  <c r="U65" i="22"/>
  <c r="V65" i="22"/>
  <c r="W65" i="22"/>
  <c r="X65" i="22"/>
  <c r="Y65" i="22"/>
  <c r="Z65" i="22"/>
  <c r="AA65" i="22"/>
  <c r="H66" i="22"/>
  <c r="I66" i="22"/>
  <c r="J66" i="22"/>
  <c r="K66" i="22"/>
  <c r="L66" i="22"/>
  <c r="M66" i="22"/>
  <c r="N66" i="22"/>
  <c r="O66" i="22"/>
  <c r="P66" i="22"/>
  <c r="Q66" i="22"/>
  <c r="R66" i="22"/>
  <c r="S66" i="22"/>
  <c r="T66" i="22"/>
  <c r="U66" i="22"/>
  <c r="V66" i="22"/>
  <c r="W66" i="22"/>
  <c r="X66" i="22"/>
  <c r="Y66" i="22"/>
  <c r="Z66" i="22"/>
  <c r="AA66" i="22"/>
  <c r="H67" i="22"/>
  <c r="I67" i="22"/>
  <c r="J67" i="22"/>
  <c r="K67" i="22"/>
  <c r="L67" i="22"/>
  <c r="M67" i="22"/>
  <c r="N67" i="22"/>
  <c r="O67" i="22"/>
  <c r="P67" i="22"/>
  <c r="Q67" i="22"/>
  <c r="R67" i="22"/>
  <c r="S67" i="22"/>
  <c r="T67" i="22"/>
  <c r="U67" i="22"/>
  <c r="V67" i="22"/>
  <c r="W67" i="22"/>
  <c r="X67" i="22"/>
  <c r="Y67" i="22"/>
  <c r="Z67" i="22"/>
  <c r="AA67" i="22"/>
  <c r="G66" i="22"/>
  <c r="G67" i="22"/>
  <c r="G65" i="22"/>
  <c r="B15" i="16"/>
  <c r="B28" i="16"/>
  <c r="B22" i="16"/>
  <c r="AE43" i="15" l="1"/>
  <c r="M30" i="20"/>
  <c r="N30" i="20" s="1"/>
  <c r="O30" i="20" s="1"/>
  <c r="P30" i="20" s="1"/>
  <c r="Q30" i="20" s="1"/>
  <c r="R30" i="20" s="1"/>
  <c r="S30" i="20" s="1"/>
  <c r="T30" i="20" s="1"/>
  <c r="U30" i="20" s="1"/>
  <c r="V30" i="20" s="1"/>
  <c r="W30" i="20" s="1"/>
  <c r="X30" i="20" s="1"/>
  <c r="Y30" i="20" s="1"/>
  <c r="Z30" i="20" s="1"/>
  <c r="AA30" i="20" s="1"/>
  <c r="AB30" i="20" s="1"/>
  <c r="AC30" i="20" s="1"/>
  <c r="AD30" i="20" s="1"/>
  <c r="AE30" i="20" s="1"/>
  <c r="AF30" i="20" s="1"/>
  <c r="AG30" i="20" s="1"/>
  <c r="AH30" i="20" s="1"/>
  <c r="AI30" i="20" s="1"/>
  <c r="AJ30" i="20" s="1"/>
  <c r="AK30" i="20" s="1"/>
  <c r="AL30" i="20" s="1"/>
  <c r="AM30" i="20" s="1"/>
  <c r="AN30" i="20" s="1"/>
  <c r="AO30" i="20" s="1"/>
  <c r="AP30" i="20" s="1"/>
  <c r="AQ30" i="20" s="1"/>
  <c r="AR30" i="20" s="1"/>
  <c r="AS30" i="20" s="1"/>
  <c r="AT30" i="20" s="1"/>
  <c r="AU30" i="20" s="1"/>
  <c r="AV30" i="20" s="1"/>
  <c r="AW30" i="20" s="1"/>
  <c r="AX30" i="20" s="1"/>
  <c r="AY30" i="20" s="1"/>
  <c r="AZ30" i="20" s="1"/>
  <c r="BA30" i="20" s="1"/>
  <c r="BB30" i="20" s="1"/>
  <c r="BC30" i="20" s="1"/>
  <c r="BD30" i="20" s="1"/>
  <c r="BE30" i="20" s="1"/>
  <c r="BF30" i="20" s="1"/>
  <c r="BG30" i="20" s="1"/>
  <c r="BH30" i="20" s="1"/>
  <c r="BI30" i="20" s="1"/>
  <c r="BJ30" i="20" s="1"/>
  <c r="BK30" i="20" s="1"/>
  <c r="BL30" i="20" s="1"/>
  <c r="BM30" i="20" s="1"/>
  <c r="BN30" i="20" s="1"/>
  <c r="BO30" i="20" s="1"/>
  <c r="BP30" i="20" s="1"/>
  <c r="BQ30" i="20" s="1"/>
  <c r="BR30" i="20" s="1"/>
  <c r="BS30" i="20" s="1"/>
  <c r="BT30" i="20" s="1"/>
  <c r="BU30" i="20" s="1"/>
  <c r="BV30" i="20" s="1"/>
  <c r="BW30" i="20" s="1"/>
  <c r="BX30" i="20" s="1"/>
  <c r="BY30" i="20" s="1"/>
  <c r="BZ30" i="20" s="1"/>
  <c r="CA30" i="20" s="1"/>
  <c r="CB30" i="20" s="1"/>
  <c r="CC30" i="20" s="1"/>
  <c r="CD30" i="20" s="1"/>
  <c r="CE30" i="20" s="1"/>
  <c r="CF30" i="20" s="1"/>
  <c r="CG30" i="20" s="1"/>
  <c r="CH30" i="20" s="1"/>
  <c r="CI30" i="20" s="1"/>
  <c r="K82" i="22"/>
  <c r="J82" i="22"/>
  <c r="I82" i="22"/>
  <c r="H82" i="22"/>
  <c r="G82" i="22"/>
  <c r="L73" i="22"/>
  <c r="K73" i="22"/>
  <c r="J73" i="22"/>
  <c r="I73" i="22"/>
  <c r="H73" i="22"/>
  <c r="G73" i="22"/>
  <c r="L72" i="22"/>
  <c r="K72" i="22"/>
  <c r="J72" i="22"/>
  <c r="I72" i="22"/>
  <c r="H72" i="22"/>
  <c r="G72" i="22"/>
  <c r="K58" i="22"/>
  <c r="J58" i="22"/>
  <c r="I58" i="22"/>
  <c r="H58" i="22"/>
  <c r="G58" i="22"/>
  <c r="K49" i="22"/>
  <c r="J49" i="22"/>
  <c r="I49" i="22"/>
  <c r="H49" i="22"/>
  <c r="G49" i="22"/>
  <c r="K40" i="22"/>
  <c r="J40" i="22"/>
  <c r="I40" i="22"/>
  <c r="H40" i="22"/>
  <c r="G40" i="22"/>
  <c r="K27" i="22"/>
  <c r="J27" i="22"/>
  <c r="I27" i="22"/>
  <c r="H27" i="22"/>
  <c r="G27" i="22"/>
  <c r="K24" i="22"/>
  <c r="J24" i="22"/>
  <c r="I24" i="22"/>
  <c r="H24" i="22"/>
  <c r="G24" i="22"/>
  <c r="K21" i="22"/>
  <c r="J21" i="22"/>
  <c r="I21" i="22"/>
  <c r="H21" i="22"/>
  <c r="G21" i="22"/>
  <c r="K18" i="22"/>
  <c r="J18" i="22"/>
  <c r="I18" i="22"/>
  <c r="H18" i="22"/>
  <c r="G18" i="22"/>
  <c r="K15" i="22"/>
  <c r="J15" i="22"/>
  <c r="I15" i="22"/>
  <c r="H15" i="22"/>
  <c r="G15" i="22"/>
  <c r="G9" i="22"/>
  <c r="H9" i="22"/>
  <c r="I9" i="22"/>
  <c r="J9" i="22"/>
  <c r="K9" i="22"/>
  <c r="L9" i="22"/>
  <c r="AF43" i="15" l="1"/>
  <c r="H74" i="22"/>
  <c r="L74" i="22"/>
  <c r="G68" i="22"/>
  <c r="H68" i="22"/>
  <c r="I68" i="22"/>
  <c r="J68" i="22"/>
  <c r="K68" i="22"/>
  <c r="I74" i="22"/>
  <c r="J74" i="22"/>
  <c r="G74" i="22"/>
  <c r="K74" i="22"/>
  <c r="H28" i="22"/>
  <c r="G28" i="22"/>
  <c r="I28" i="22"/>
  <c r="J28" i="22"/>
  <c r="K28" i="22"/>
  <c r="AG43" i="15" l="1"/>
  <c r="G76" i="20"/>
  <c r="G61" i="20"/>
  <c r="G60" i="15" s="1"/>
  <c r="I61" i="3"/>
  <c r="J61" i="3"/>
  <c r="L58" i="22"/>
  <c r="L49" i="22"/>
  <c r="M40" i="22"/>
  <c r="N40" i="22"/>
  <c r="O40" i="22"/>
  <c r="P40" i="22"/>
  <c r="Q40" i="22"/>
  <c r="R40" i="22"/>
  <c r="S40" i="22"/>
  <c r="T40" i="22"/>
  <c r="U40" i="22"/>
  <c r="V40" i="22"/>
  <c r="W40" i="22"/>
  <c r="X40" i="22"/>
  <c r="Y40" i="22"/>
  <c r="Z40" i="22"/>
  <c r="AA40" i="22"/>
  <c r="L40" i="22"/>
  <c r="L82" i="22"/>
  <c r="M82" i="22"/>
  <c r="N82" i="22"/>
  <c r="O82" i="22"/>
  <c r="P82" i="22"/>
  <c r="Q82" i="22"/>
  <c r="R82" i="22"/>
  <c r="S82" i="22"/>
  <c r="T82" i="22"/>
  <c r="U82" i="22"/>
  <c r="V82" i="22"/>
  <c r="W82" i="22"/>
  <c r="X82" i="22"/>
  <c r="Y82" i="22"/>
  <c r="Z82" i="22"/>
  <c r="AA82" i="22"/>
  <c r="AH43" i="15" l="1"/>
  <c r="G24" i="20"/>
  <c r="G61" i="15"/>
  <c r="L68" i="22"/>
  <c r="C14" i="20"/>
  <c r="AI43" i="15" l="1"/>
  <c r="I68" i="3"/>
  <c r="I52" i="3"/>
  <c r="I42" i="3"/>
  <c r="I41" i="3"/>
  <c r="AJ43" i="15" l="1"/>
  <c r="G90" i="20"/>
  <c r="AK43" i="15" l="1"/>
  <c r="F6" i="18"/>
  <c r="B6" i="18" s="1"/>
  <c r="B10" i="18"/>
  <c r="AL43" i="15" l="1"/>
  <c r="G305" i="20"/>
  <c r="G304" i="20"/>
  <c r="H307" i="20"/>
  <c r="I307" i="20"/>
  <c r="J307" i="20"/>
  <c r="K307" i="20"/>
  <c r="L307" i="20"/>
  <c r="M307" i="20"/>
  <c r="N307" i="20"/>
  <c r="O307" i="20"/>
  <c r="P307" i="20"/>
  <c r="Q307" i="20"/>
  <c r="R307" i="20"/>
  <c r="S307" i="20"/>
  <c r="T307" i="20"/>
  <c r="U307" i="20"/>
  <c r="V307" i="20"/>
  <c r="W307" i="20"/>
  <c r="X307" i="20"/>
  <c r="Y307" i="20"/>
  <c r="Z307" i="20"/>
  <c r="AA307" i="20"/>
  <c r="AB307" i="20"/>
  <c r="AC307" i="20"/>
  <c r="AD307" i="20"/>
  <c r="AE307" i="20"/>
  <c r="AF307" i="20"/>
  <c r="AG307" i="20"/>
  <c r="AH307" i="20"/>
  <c r="AI307" i="20"/>
  <c r="AJ307" i="20"/>
  <c r="AK307" i="20"/>
  <c r="AL307" i="20"/>
  <c r="AM307" i="20"/>
  <c r="AN307" i="20"/>
  <c r="AO307" i="20"/>
  <c r="AP307" i="20"/>
  <c r="AQ307" i="20"/>
  <c r="AR307" i="20"/>
  <c r="AS307" i="20"/>
  <c r="AT307" i="20"/>
  <c r="AU307" i="20"/>
  <c r="AV307" i="20"/>
  <c r="AW307" i="20"/>
  <c r="AX307" i="20"/>
  <c r="AY307" i="20"/>
  <c r="AZ307" i="20"/>
  <c r="BA307" i="20"/>
  <c r="BB307" i="20"/>
  <c r="BC307" i="20"/>
  <c r="BD307" i="20"/>
  <c r="BE307" i="20"/>
  <c r="BF307" i="20"/>
  <c r="BG307" i="20"/>
  <c r="BH307" i="20"/>
  <c r="BI307" i="20"/>
  <c r="BJ307" i="20"/>
  <c r="BK307" i="20"/>
  <c r="BL307" i="20"/>
  <c r="BM307" i="20"/>
  <c r="BN307" i="20"/>
  <c r="BO307" i="20"/>
  <c r="BP307" i="20"/>
  <c r="BQ307" i="20"/>
  <c r="BR307" i="20"/>
  <c r="BS307" i="20"/>
  <c r="BT307" i="20"/>
  <c r="BU307" i="20"/>
  <c r="BV307" i="20"/>
  <c r="BW307" i="20"/>
  <c r="BX307" i="20"/>
  <c r="BY307" i="20"/>
  <c r="BZ307" i="20"/>
  <c r="CA307" i="20"/>
  <c r="CB307" i="20"/>
  <c r="CC307" i="20"/>
  <c r="CD307" i="20"/>
  <c r="CE307" i="20"/>
  <c r="CF307" i="20"/>
  <c r="CG307" i="20"/>
  <c r="CH307" i="20"/>
  <c r="CI307" i="20"/>
  <c r="G307" i="20"/>
  <c r="G308" i="20"/>
  <c r="H126" i="20"/>
  <c r="I126" i="20"/>
  <c r="J126" i="20"/>
  <c r="K126" i="20"/>
  <c r="L126" i="20"/>
  <c r="N126" i="20"/>
  <c r="O126" i="20"/>
  <c r="P126" i="20"/>
  <c r="Q126" i="20"/>
  <c r="R126" i="20"/>
  <c r="S126" i="20"/>
  <c r="T126" i="20"/>
  <c r="U126" i="20"/>
  <c r="V126" i="20"/>
  <c r="W126" i="20"/>
  <c r="X126" i="20"/>
  <c r="Y126" i="20"/>
  <c r="Z126" i="20"/>
  <c r="AA126" i="20"/>
  <c r="AB126" i="20"/>
  <c r="AC126" i="20"/>
  <c r="AD126" i="20"/>
  <c r="AE126" i="20"/>
  <c r="AF126" i="20"/>
  <c r="AG126" i="20"/>
  <c r="AH126" i="20"/>
  <c r="AI126" i="20"/>
  <c r="AJ126" i="20"/>
  <c r="AK126" i="20"/>
  <c r="AL126" i="20"/>
  <c r="AM126" i="20"/>
  <c r="AN126" i="20"/>
  <c r="AO126" i="20"/>
  <c r="AP126" i="20"/>
  <c r="AQ126" i="20"/>
  <c r="AR126" i="20"/>
  <c r="AS126" i="20"/>
  <c r="AT126" i="20"/>
  <c r="AU126" i="20"/>
  <c r="AV126" i="20"/>
  <c r="AW126" i="20"/>
  <c r="AX126" i="20"/>
  <c r="AY126" i="20"/>
  <c r="AZ126" i="20"/>
  <c r="BA126" i="20"/>
  <c r="BB126" i="20"/>
  <c r="BC126" i="20"/>
  <c r="BD126" i="20"/>
  <c r="BE126" i="20"/>
  <c r="BF126" i="20"/>
  <c r="BG126" i="20"/>
  <c r="BH126" i="20"/>
  <c r="BI126" i="20"/>
  <c r="BJ126" i="20"/>
  <c r="BK126" i="20"/>
  <c r="BL126" i="20"/>
  <c r="BM126" i="20"/>
  <c r="BN126" i="20"/>
  <c r="BO126" i="20"/>
  <c r="BP126" i="20"/>
  <c r="BQ126" i="20"/>
  <c r="BR126" i="20"/>
  <c r="BS126" i="20"/>
  <c r="BT126" i="20"/>
  <c r="BU126" i="20"/>
  <c r="BV126" i="20"/>
  <c r="BW126" i="20"/>
  <c r="BX126" i="20"/>
  <c r="BY126" i="20"/>
  <c r="BZ126" i="20"/>
  <c r="CA126" i="20"/>
  <c r="CB126" i="20"/>
  <c r="CC126" i="20"/>
  <c r="CD126" i="20"/>
  <c r="CE126" i="20"/>
  <c r="CF126" i="20"/>
  <c r="CG126" i="20"/>
  <c r="CH126" i="20"/>
  <c r="CI126" i="20"/>
  <c r="AM43" i="15" l="1"/>
  <c r="G171" i="20"/>
  <c r="G172" i="20"/>
  <c r="G173" i="20"/>
  <c r="G174" i="20"/>
  <c r="H304" i="20"/>
  <c r="H361" i="20" s="1"/>
  <c r="I304" i="20"/>
  <c r="I361" i="20" s="1"/>
  <c r="J304" i="20"/>
  <c r="J361" i="20" s="1"/>
  <c r="K304" i="20"/>
  <c r="K361" i="20" s="1"/>
  <c r="L304" i="20"/>
  <c r="L361" i="20" s="1"/>
  <c r="M304" i="20"/>
  <c r="M361" i="20" s="1"/>
  <c r="N304" i="20"/>
  <c r="N361" i="20" s="1"/>
  <c r="O304" i="20"/>
  <c r="O361" i="20" s="1"/>
  <c r="P304" i="20"/>
  <c r="P361" i="20" s="1"/>
  <c r="Q304" i="20"/>
  <c r="Q361" i="20" s="1"/>
  <c r="R304" i="20"/>
  <c r="R361" i="20" s="1"/>
  <c r="S304" i="20"/>
  <c r="S361" i="20" s="1"/>
  <c r="T304" i="20"/>
  <c r="T361" i="20" s="1"/>
  <c r="U304" i="20"/>
  <c r="U361" i="20" s="1"/>
  <c r="V304" i="20"/>
  <c r="V361" i="20" s="1"/>
  <c r="W304" i="20"/>
  <c r="W361" i="20" s="1"/>
  <c r="X304" i="20"/>
  <c r="X361" i="20" s="1"/>
  <c r="Y304" i="20"/>
  <c r="Y361" i="20" s="1"/>
  <c r="Z304" i="20"/>
  <c r="Z361" i="20" s="1"/>
  <c r="AA304" i="20"/>
  <c r="AA361" i="20" s="1"/>
  <c r="AB304" i="20"/>
  <c r="AB361" i="20" s="1"/>
  <c r="AC304" i="20"/>
  <c r="AC361" i="20" s="1"/>
  <c r="AD304" i="20"/>
  <c r="AD361" i="20" s="1"/>
  <c r="AE304" i="20"/>
  <c r="AE361" i="20" s="1"/>
  <c r="AF304" i="20"/>
  <c r="AF361" i="20" s="1"/>
  <c r="AG304" i="20"/>
  <c r="AG361" i="20" s="1"/>
  <c r="AH304" i="20"/>
  <c r="AH361" i="20" s="1"/>
  <c r="AI304" i="20"/>
  <c r="AI361" i="20" s="1"/>
  <c r="AJ304" i="20"/>
  <c r="AJ361" i="20" s="1"/>
  <c r="AK304" i="20"/>
  <c r="AK361" i="20" s="1"/>
  <c r="AL304" i="20"/>
  <c r="AL361" i="20" s="1"/>
  <c r="AM304" i="20"/>
  <c r="AM361" i="20" s="1"/>
  <c r="AN304" i="20"/>
  <c r="AN361" i="20" s="1"/>
  <c r="AO304" i="20"/>
  <c r="AO361" i="20" s="1"/>
  <c r="AP304" i="20"/>
  <c r="AP361" i="20" s="1"/>
  <c r="AQ304" i="20"/>
  <c r="AQ361" i="20" s="1"/>
  <c r="AR304" i="20"/>
  <c r="AR361" i="20" s="1"/>
  <c r="AS304" i="20"/>
  <c r="AS361" i="20" s="1"/>
  <c r="AT304" i="20"/>
  <c r="AT361" i="20" s="1"/>
  <c r="AU304" i="20"/>
  <c r="AU361" i="20" s="1"/>
  <c r="AV304" i="20"/>
  <c r="AV361" i="20" s="1"/>
  <c r="AW304" i="20"/>
  <c r="AW361" i="20" s="1"/>
  <c r="AX304" i="20"/>
  <c r="AX361" i="20" s="1"/>
  <c r="AY304" i="20"/>
  <c r="AY361" i="20" s="1"/>
  <c r="AZ304" i="20"/>
  <c r="AZ361" i="20" s="1"/>
  <c r="BA304" i="20"/>
  <c r="BA361" i="20" s="1"/>
  <c r="BB304" i="20"/>
  <c r="BB361" i="20" s="1"/>
  <c r="BC304" i="20"/>
  <c r="BC361" i="20" s="1"/>
  <c r="BD304" i="20"/>
  <c r="BD361" i="20" s="1"/>
  <c r="BE304" i="20"/>
  <c r="BE361" i="20" s="1"/>
  <c r="BF304" i="20"/>
  <c r="BF361" i="20" s="1"/>
  <c r="BG304" i="20"/>
  <c r="BG361" i="20" s="1"/>
  <c r="BH304" i="20"/>
  <c r="BH361" i="20" s="1"/>
  <c r="BI304" i="20"/>
  <c r="BI361" i="20" s="1"/>
  <c r="BJ304" i="20"/>
  <c r="BJ361" i="20" s="1"/>
  <c r="BK304" i="20"/>
  <c r="BK361" i="20" s="1"/>
  <c r="BL304" i="20"/>
  <c r="BL361" i="20" s="1"/>
  <c r="BM304" i="20"/>
  <c r="BM361" i="20" s="1"/>
  <c r="BN304" i="20"/>
  <c r="BN361" i="20" s="1"/>
  <c r="BO304" i="20"/>
  <c r="BO361" i="20" s="1"/>
  <c r="BP304" i="20"/>
  <c r="BP361" i="20" s="1"/>
  <c r="BQ304" i="20"/>
  <c r="BQ361" i="20" s="1"/>
  <c r="BR304" i="20"/>
  <c r="BR361" i="20" s="1"/>
  <c r="BS304" i="20"/>
  <c r="BS361" i="20" s="1"/>
  <c r="BT304" i="20"/>
  <c r="BT361" i="20" s="1"/>
  <c r="BU304" i="20"/>
  <c r="BU361" i="20" s="1"/>
  <c r="BV304" i="20"/>
  <c r="BV361" i="20" s="1"/>
  <c r="BW304" i="20"/>
  <c r="BW361" i="20" s="1"/>
  <c r="BX304" i="20"/>
  <c r="BX361" i="20" s="1"/>
  <c r="BY304" i="20"/>
  <c r="BY361" i="20" s="1"/>
  <c r="BZ304" i="20"/>
  <c r="BZ361" i="20" s="1"/>
  <c r="CA304" i="20"/>
  <c r="CA361" i="20" s="1"/>
  <c r="CB304" i="20"/>
  <c r="CB361" i="20" s="1"/>
  <c r="CC304" i="20"/>
  <c r="CC361" i="20" s="1"/>
  <c r="CD304" i="20"/>
  <c r="CD361" i="20" s="1"/>
  <c r="CE304" i="20"/>
  <c r="CE361" i="20" s="1"/>
  <c r="CF304" i="20"/>
  <c r="CF361" i="20" s="1"/>
  <c r="CG304" i="20"/>
  <c r="CG361" i="20" s="1"/>
  <c r="CH304" i="20"/>
  <c r="CH361" i="20" s="1"/>
  <c r="CI304" i="20"/>
  <c r="CI361" i="20" s="1"/>
  <c r="G361" i="20"/>
  <c r="H271" i="20"/>
  <c r="J271" i="20"/>
  <c r="K271" i="20"/>
  <c r="L271" i="20"/>
  <c r="M271" i="20"/>
  <c r="N271" i="20"/>
  <c r="O271" i="20"/>
  <c r="P271" i="20"/>
  <c r="Q271" i="20"/>
  <c r="R271" i="20"/>
  <c r="S271" i="20"/>
  <c r="T271" i="20"/>
  <c r="U271" i="20"/>
  <c r="V271" i="20"/>
  <c r="W271" i="20"/>
  <c r="X271" i="20"/>
  <c r="Y271" i="20"/>
  <c r="Z271" i="20"/>
  <c r="AA271" i="20"/>
  <c r="AB271" i="20"/>
  <c r="AC271" i="20"/>
  <c r="AD271" i="20"/>
  <c r="AE271" i="20"/>
  <c r="AF271" i="20"/>
  <c r="AG271" i="20"/>
  <c r="AH271" i="20"/>
  <c r="AI271" i="20"/>
  <c r="AJ271" i="20"/>
  <c r="AK271" i="20"/>
  <c r="AL271" i="20"/>
  <c r="AM271" i="20"/>
  <c r="AN271" i="20"/>
  <c r="AO271" i="20"/>
  <c r="AP271" i="20"/>
  <c r="AQ271" i="20"/>
  <c r="AR271" i="20"/>
  <c r="AS271" i="20"/>
  <c r="AT271" i="20"/>
  <c r="AU271" i="20"/>
  <c r="AV271" i="20"/>
  <c r="AW271" i="20"/>
  <c r="AX271" i="20"/>
  <c r="AY271" i="20"/>
  <c r="AZ271" i="20"/>
  <c r="BA271" i="20"/>
  <c r="BB271" i="20"/>
  <c r="BC271" i="20"/>
  <c r="BD271" i="20"/>
  <c r="BE271" i="20"/>
  <c r="BF271" i="20"/>
  <c r="BG271" i="20"/>
  <c r="BH271" i="20"/>
  <c r="BI271" i="20"/>
  <c r="BJ271" i="20"/>
  <c r="BK271" i="20"/>
  <c r="BL271" i="20"/>
  <c r="BM271" i="20"/>
  <c r="BN271" i="20"/>
  <c r="BO271" i="20"/>
  <c r="BP271" i="20"/>
  <c r="BQ271" i="20"/>
  <c r="BR271" i="20"/>
  <c r="BS271" i="20"/>
  <c r="BT271" i="20"/>
  <c r="BU271" i="20"/>
  <c r="BV271" i="20"/>
  <c r="BW271" i="20"/>
  <c r="BX271" i="20"/>
  <c r="BY271" i="20"/>
  <c r="BZ271" i="20"/>
  <c r="CA271" i="20"/>
  <c r="CB271" i="20"/>
  <c r="CC271" i="20"/>
  <c r="CD271" i="20"/>
  <c r="CE271" i="20"/>
  <c r="CF271" i="20"/>
  <c r="CG271" i="20"/>
  <c r="CH271" i="20"/>
  <c r="CI271" i="20"/>
  <c r="G271" i="20"/>
  <c r="H123" i="20"/>
  <c r="H180" i="20" s="1"/>
  <c r="I123" i="20"/>
  <c r="I180" i="20" s="1"/>
  <c r="J123" i="20"/>
  <c r="J180" i="20" s="1"/>
  <c r="K123" i="20"/>
  <c r="K180" i="20" s="1"/>
  <c r="L123" i="20"/>
  <c r="L180" i="20" s="1"/>
  <c r="M180" i="20"/>
  <c r="N123" i="20"/>
  <c r="N180" i="20" s="1"/>
  <c r="O123" i="20"/>
  <c r="O180" i="20" s="1"/>
  <c r="P123" i="20"/>
  <c r="P180" i="20" s="1"/>
  <c r="Q123" i="20"/>
  <c r="Q180" i="20" s="1"/>
  <c r="R123" i="20"/>
  <c r="R180" i="20" s="1"/>
  <c r="S123" i="20"/>
  <c r="S180" i="20" s="1"/>
  <c r="T123" i="20"/>
  <c r="T180" i="20" s="1"/>
  <c r="U123" i="20"/>
  <c r="U180" i="20" s="1"/>
  <c r="V123" i="20"/>
  <c r="V180" i="20" s="1"/>
  <c r="W123" i="20"/>
  <c r="W180" i="20" s="1"/>
  <c r="X123" i="20"/>
  <c r="X180" i="20" s="1"/>
  <c r="Y123" i="20"/>
  <c r="Y180" i="20" s="1"/>
  <c r="Z123" i="20"/>
  <c r="Z180" i="20" s="1"/>
  <c r="AA123" i="20"/>
  <c r="AA180" i="20" s="1"/>
  <c r="AB123" i="20"/>
  <c r="AB180" i="20" s="1"/>
  <c r="AC123" i="20"/>
  <c r="AC180" i="20" s="1"/>
  <c r="AD123" i="20"/>
  <c r="AD180" i="20" s="1"/>
  <c r="AE123" i="20"/>
  <c r="AE180" i="20" s="1"/>
  <c r="AF123" i="20"/>
  <c r="AF180" i="20" s="1"/>
  <c r="AG123" i="20"/>
  <c r="AG180" i="20" s="1"/>
  <c r="AH123" i="20"/>
  <c r="AH180" i="20" s="1"/>
  <c r="AI123" i="20"/>
  <c r="AI180" i="20" s="1"/>
  <c r="AJ123" i="20"/>
  <c r="AJ180" i="20" s="1"/>
  <c r="AK123" i="20"/>
  <c r="AK180" i="20" s="1"/>
  <c r="AL123" i="20"/>
  <c r="AL180" i="20" s="1"/>
  <c r="AM123" i="20"/>
  <c r="AM180" i="20" s="1"/>
  <c r="AN123" i="20"/>
  <c r="AN180" i="20" s="1"/>
  <c r="AO123" i="20"/>
  <c r="AO180" i="20" s="1"/>
  <c r="AP123" i="20"/>
  <c r="AP180" i="20" s="1"/>
  <c r="AQ123" i="20"/>
  <c r="AQ180" i="20" s="1"/>
  <c r="AR123" i="20"/>
  <c r="AR180" i="20" s="1"/>
  <c r="AS123" i="20"/>
  <c r="AS180" i="20" s="1"/>
  <c r="AT123" i="20"/>
  <c r="AT180" i="20" s="1"/>
  <c r="AU123" i="20"/>
  <c r="AU180" i="20" s="1"/>
  <c r="AV123" i="20"/>
  <c r="AV180" i="20" s="1"/>
  <c r="AW123" i="20"/>
  <c r="AW180" i="20" s="1"/>
  <c r="AX123" i="20"/>
  <c r="AX180" i="20" s="1"/>
  <c r="AY123" i="20"/>
  <c r="AY180" i="20" s="1"/>
  <c r="AZ123" i="20"/>
  <c r="AZ180" i="20" s="1"/>
  <c r="BA123" i="20"/>
  <c r="BA180" i="20" s="1"/>
  <c r="BB123" i="20"/>
  <c r="BB180" i="20" s="1"/>
  <c r="BC123" i="20"/>
  <c r="BC180" i="20" s="1"/>
  <c r="BD123" i="20"/>
  <c r="BD180" i="20" s="1"/>
  <c r="BE123" i="20"/>
  <c r="BE180" i="20" s="1"/>
  <c r="BF123" i="20"/>
  <c r="BF180" i="20" s="1"/>
  <c r="BG123" i="20"/>
  <c r="BG180" i="20" s="1"/>
  <c r="BH123" i="20"/>
  <c r="BH180" i="20" s="1"/>
  <c r="BI123" i="20"/>
  <c r="BI180" i="20" s="1"/>
  <c r="BJ123" i="20"/>
  <c r="BJ180" i="20" s="1"/>
  <c r="BK123" i="20"/>
  <c r="BK180" i="20" s="1"/>
  <c r="BL123" i="20"/>
  <c r="BL180" i="20" s="1"/>
  <c r="BM123" i="20"/>
  <c r="BM180" i="20" s="1"/>
  <c r="BN123" i="20"/>
  <c r="BN180" i="20" s="1"/>
  <c r="BO123" i="20"/>
  <c r="BO180" i="20" s="1"/>
  <c r="BP123" i="20"/>
  <c r="BP180" i="20" s="1"/>
  <c r="BQ123" i="20"/>
  <c r="BQ180" i="20" s="1"/>
  <c r="BR123" i="20"/>
  <c r="BR180" i="20" s="1"/>
  <c r="BS123" i="20"/>
  <c r="BS180" i="20" s="1"/>
  <c r="BT123" i="20"/>
  <c r="BT180" i="20" s="1"/>
  <c r="BU123" i="20"/>
  <c r="BU180" i="20" s="1"/>
  <c r="BV123" i="20"/>
  <c r="BV180" i="20" s="1"/>
  <c r="BW123" i="20"/>
  <c r="BW180" i="20" s="1"/>
  <c r="BX123" i="20"/>
  <c r="BX180" i="20" s="1"/>
  <c r="BY123" i="20"/>
  <c r="BY180" i="20" s="1"/>
  <c r="BZ123" i="20"/>
  <c r="BZ180" i="20" s="1"/>
  <c r="CA123" i="20"/>
  <c r="CA180" i="20" s="1"/>
  <c r="CB123" i="20"/>
  <c r="CB180" i="20" s="1"/>
  <c r="CC123" i="20"/>
  <c r="CC180" i="20" s="1"/>
  <c r="CD123" i="20"/>
  <c r="CD180" i="20" s="1"/>
  <c r="CE123" i="20"/>
  <c r="CE180" i="20" s="1"/>
  <c r="CF123" i="20"/>
  <c r="CF180" i="20" s="1"/>
  <c r="CG123" i="20"/>
  <c r="CG180" i="20" s="1"/>
  <c r="CH123" i="20"/>
  <c r="CH180" i="20" s="1"/>
  <c r="CI123" i="20"/>
  <c r="CI180" i="20" s="1"/>
  <c r="G18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AN43" i="15" l="1"/>
  <c r="CI388" i="20"/>
  <c r="CH388" i="20"/>
  <c r="CG388" i="20"/>
  <c r="CF388" i="20"/>
  <c r="CE388" i="20"/>
  <c r="CD388" i="20"/>
  <c r="CC388" i="20"/>
  <c r="CB388" i="20"/>
  <c r="CA388" i="20"/>
  <c r="BZ388" i="20"/>
  <c r="BY388" i="20"/>
  <c r="BX388" i="20"/>
  <c r="BW388" i="20"/>
  <c r="BV388" i="20"/>
  <c r="BU388" i="20"/>
  <c r="BT388" i="20"/>
  <c r="BS388" i="20"/>
  <c r="BR388" i="20"/>
  <c r="BQ388" i="20"/>
  <c r="BP388" i="20"/>
  <c r="BO388" i="20"/>
  <c r="BN388" i="20"/>
  <c r="BM388" i="20"/>
  <c r="BL388" i="20"/>
  <c r="BK388" i="20"/>
  <c r="BJ388" i="20"/>
  <c r="BI388" i="20"/>
  <c r="BH388" i="20"/>
  <c r="BG388" i="20"/>
  <c r="BF388" i="20"/>
  <c r="BE388" i="20"/>
  <c r="BD388" i="20"/>
  <c r="BC388" i="20"/>
  <c r="BB388" i="20"/>
  <c r="BA388" i="20"/>
  <c r="AZ388" i="20"/>
  <c r="AY388" i="20"/>
  <c r="AX388" i="20"/>
  <c r="AW388" i="20"/>
  <c r="AV388" i="20"/>
  <c r="AU388" i="20"/>
  <c r="AT388" i="20"/>
  <c r="AS388" i="20"/>
  <c r="AR388" i="20"/>
  <c r="AQ388" i="20"/>
  <c r="AP388" i="20"/>
  <c r="AO388" i="20"/>
  <c r="AN388" i="20"/>
  <c r="AM388" i="20"/>
  <c r="AL388" i="20"/>
  <c r="AK388" i="20"/>
  <c r="AJ388" i="20"/>
  <c r="AI388" i="20"/>
  <c r="AH388" i="20"/>
  <c r="AG388" i="20"/>
  <c r="AF388" i="20"/>
  <c r="AE388" i="20"/>
  <c r="AD388" i="20"/>
  <c r="AC388" i="20"/>
  <c r="AB388" i="20"/>
  <c r="AA388" i="20"/>
  <c r="Z388" i="20"/>
  <c r="Y388" i="20"/>
  <c r="X388" i="20"/>
  <c r="W388" i="20"/>
  <c r="V388" i="20"/>
  <c r="U388" i="20"/>
  <c r="T388" i="20"/>
  <c r="S388" i="20"/>
  <c r="R388" i="20"/>
  <c r="Q388" i="20"/>
  <c r="P388" i="20"/>
  <c r="O388" i="20"/>
  <c r="N388" i="20"/>
  <c r="M388" i="20"/>
  <c r="L388" i="20"/>
  <c r="K388" i="20"/>
  <c r="J388" i="20"/>
  <c r="I388" i="20"/>
  <c r="H388" i="20"/>
  <c r="G388" i="20"/>
  <c r="CI387" i="20"/>
  <c r="CH387" i="20"/>
  <c r="CG387" i="20"/>
  <c r="CF387" i="20"/>
  <c r="CE387" i="20"/>
  <c r="CD387" i="20"/>
  <c r="CC387" i="20"/>
  <c r="CB387" i="20"/>
  <c r="CA387" i="20"/>
  <c r="BZ387" i="20"/>
  <c r="BY387" i="20"/>
  <c r="BX387" i="20"/>
  <c r="BW387" i="20"/>
  <c r="BV387" i="20"/>
  <c r="BU387" i="20"/>
  <c r="BT387" i="20"/>
  <c r="BS387" i="20"/>
  <c r="BR387" i="20"/>
  <c r="BQ387" i="20"/>
  <c r="BP387" i="20"/>
  <c r="BO387" i="20"/>
  <c r="BN387" i="20"/>
  <c r="BM387" i="20"/>
  <c r="BL387" i="20"/>
  <c r="BK387" i="20"/>
  <c r="BJ387" i="20"/>
  <c r="BI387" i="20"/>
  <c r="BH387" i="20"/>
  <c r="BG387" i="20"/>
  <c r="BF387" i="20"/>
  <c r="BE387" i="20"/>
  <c r="BD387" i="20"/>
  <c r="BC387" i="20"/>
  <c r="BB387" i="20"/>
  <c r="BA387" i="20"/>
  <c r="AZ387" i="20"/>
  <c r="AY387" i="20"/>
  <c r="AX387" i="20"/>
  <c r="AW387" i="20"/>
  <c r="AV387" i="20"/>
  <c r="AU387" i="20"/>
  <c r="AT387" i="20"/>
  <c r="AS387" i="20"/>
  <c r="AR387" i="20"/>
  <c r="AQ387" i="20"/>
  <c r="AP387" i="20"/>
  <c r="AO387" i="20"/>
  <c r="AN387" i="20"/>
  <c r="AM387" i="20"/>
  <c r="AL387" i="20"/>
  <c r="AK387" i="20"/>
  <c r="AJ387" i="20"/>
  <c r="AI387" i="20"/>
  <c r="AH387" i="20"/>
  <c r="AG387" i="20"/>
  <c r="AF387" i="20"/>
  <c r="AE387" i="20"/>
  <c r="AD387" i="20"/>
  <c r="AC387" i="20"/>
  <c r="AB387" i="20"/>
  <c r="AA387" i="20"/>
  <c r="Z387" i="20"/>
  <c r="Y387" i="20"/>
  <c r="X387" i="20"/>
  <c r="W387" i="20"/>
  <c r="V387" i="20"/>
  <c r="U387" i="20"/>
  <c r="T387" i="20"/>
  <c r="S387" i="20"/>
  <c r="R387" i="20"/>
  <c r="Q387" i="20"/>
  <c r="P387" i="20"/>
  <c r="O387" i="20"/>
  <c r="N387" i="20"/>
  <c r="M387" i="20"/>
  <c r="L387" i="20"/>
  <c r="K387" i="20"/>
  <c r="J387" i="20"/>
  <c r="I387" i="20"/>
  <c r="H387" i="20"/>
  <c r="G387" i="20"/>
  <c r="CI386" i="20"/>
  <c r="CH386" i="20"/>
  <c r="CG386" i="20"/>
  <c r="CF386" i="20"/>
  <c r="CE386" i="20"/>
  <c r="CD386" i="20"/>
  <c r="CC386" i="20"/>
  <c r="CB386" i="20"/>
  <c r="CA386" i="20"/>
  <c r="BZ386" i="20"/>
  <c r="BY386" i="20"/>
  <c r="BX386" i="20"/>
  <c r="BW386" i="20"/>
  <c r="BV386" i="20"/>
  <c r="BU386" i="20"/>
  <c r="BT386" i="20"/>
  <c r="BS386" i="20"/>
  <c r="BR386" i="20"/>
  <c r="BQ386" i="20"/>
  <c r="BP386" i="20"/>
  <c r="BO386" i="20"/>
  <c r="BN386" i="20"/>
  <c r="BM386" i="20"/>
  <c r="BL386" i="20"/>
  <c r="BK386" i="20"/>
  <c r="BJ386" i="20"/>
  <c r="BI386" i="20"/>
  <c r="BH386" i="20"/>
  <c r="BG386" i="20"/>
  <c r="BF386" i="20"/>
  <c r="BE386" i="20"/>
  <c r="BD386" i="20"/>
  <c r="BC386" i="20"/>
  <c r="BB386" i="20"/>
  <c r="BA386" i="20"/>
  <c r="AZ386" i="20"/>
  <c r="AY386" i="20"/>
  <c r="AX386" i="20"/>
  <c r="AW386" i="20"/>
  <c r="AV386" i="20"/>
  <c r="AU386" i="20"/>
  <c r="AT386" i="20"/>
  <c r="AS386" i="20"/>
  <c r="AR386" i="20"/>
  <c r="AQ386" i="20"/>
  <c r="AP386" i="20"/>
  <c r="AO386" i="20"/>
  <c r="AN386" i="20"/>
  <c r="AM386" i="20"/>
  <c r="AL386" i="20"/>
  <c r="AK386" i="20"/>
  <c r="AJ386" i="20"/>
  <c r="AI386" i="20"/>
  <c r="AH386" i="20"/>
  <c r="AG386" i="20"/>
  <c r="AF386" i="20"/>
  <c r="AE386" i="20"/>
  <c r="AD386" i="20"/>
  <c r="AC386" i="20"/>
  <c r="AB386" i="20"/>
  <c r="AA386" i="20"/>
  <c r="Z386" i="20"/>
  <c r="Y386" i="20"/>
  <c r="X386" i="20"/>
  <c r="W386" i="20"/>
  <c r="V386" i="20"/>
  <c r="U386" i="20"/>
  <c r="T386" i="20"/>
  <c r="S386" i="20"/>
  <c r="R386" i="20"/>
  <c r="Q386" i="20"/>
  <c r="P386" i="20"/>
  <c r="O386" i="20"/>
  <c r="N386" i="20"/>
  <c r="M386" i="20"/>
  <c r="L386" i="20"/>
  <c r="K386" i="20"/>
  <c r="J386" i="20"/>
  <c r="I386" i="20"/>
  <c r="H386" i="20"/>
  <c r="G386" i="20"/>
  <c r="CI370" i="20"/>
  <c r="CH370" i="20"/>
  <c r="CG370" i="20"/>
  <c r="CF370" i="20"/>
  <c r="CE370" i="20"/>
  <c r="CD370" i="20"/>
  <c r="CC370" i="20"/>
  <c r="CB370" i="20"/>
  <c r="CA370" i="20"/>
  <c r="BZ370" i="20"/>
  <c r="BY370" i="20"/>
  <c r="BX370" i="20"/>
  <c r="BW370" i="20"/>
  <c r="BV370" i="20"/>
  <c r="BU370" i="20"/>
  <c r="BT370" i="20"/>
  <c r="BS370" i="20"/>
  <c r="BR370" i="20"/>
  <c r="BQ370" i="20"/>
  <c r="BP370" i="20"/>
  <c r="BO370" i="20"/>
  <c r="BN370" i="20"/>
  <c r="BM370" i="20"/>
  <c r="BL370" i="20"/>
  <c r="BK370" i="20"/>
  <c r="BJ370" i="20"/>
  <c r="BI370" i="20"/>
  <c r="BH370" i="20"/>
  <c r="BG370" i="20"/>
  <c r="BF370" i="20"/>
  <c r="BE370" i="20"/>
  <c r="BD370" i="20"/>
  <c r="BC370" i="20"/>
  <c r="BB370" i="20"/>
  <c r="BA370" i="20"/>
  <c r="AZ370" i="20"/>
  <c r="AY370" i="20"/>
  <c r="AX370" i="20"/>
  <c r="AW370" i="20"/>
  <c r="AV370" i="20"/>
  <c r="AU370" i="20"/>
  <c r="AT370" i="20"/>
  <c r="AS370" i="20"/>
  <c r="AR370" i="20"/>
  <c r="AQ370" i="20"/>
  <c r="AP370" i="20"/>
  <c r="AO370" i="20"/>
  <c r="AN370" i="20"/>
  <c r="AM370" i="20"/>
  <c r="AL370" i="20"/>
  <c r="AK370" i="20"/>
  <c r="AJ370" i="20"/>
  <c r="AI370" i="20"/>
  <c r="AH370" i="20"/>
  <c r="AG370" i="20"/>
  <c r="AF370" i="20"/>
  <c r="AE370" i="20"/>
  <c r="AD370" i="20"/>
  <c r="AC370" i="20"/>
  <c r="AB370" i="20"/>
  <c r="AA370" i="20"/>
  <c r="Z370" i="20"/>
  <c r="Y370" i="20"/>
  <c r="X370" i="20"/>
  <c r="W370" i="20"/>
  <c r="V370" i="20"/>
  <c r="U370" i="20"/>
  <c r="T370" i="20"/>
  <c r="S370" i="20"/>
  <c r="R370" i="20"/>
  <c r="Q370" i="20"/>
  <c r="P370" i="20"/>
  <c r="O370" i="20"/>
  <c r="N370" i="20"/>
  <c r="M370" i="20"/>
  <c r="L370" i="20"/>
  <c r="K370" i="20"/>
  <c r="J370" i="20"/>
  <c r="I370" i="20"/>
  <c r="H370" i="20"/>
  <c r="G370" i="20"/>
  <c r="CI369" i="20"/>
  <c r="CH369" i="20"/>
  <c r="CG369" i="20"/>
  <c r="CF369" i="20"/>
  <c r="CE369" i="20"/>
  <c r="CD369" i="20"/>
  <c r="CC369" i="20"/>
  <c r="CB369" i="20"/>
  <c r="CA369" i="20"/>
  <c r="BZ369" i="20"/>
  <c r="BY369" i="20"/>
  <c r="BX369" i="20"/>
  <c r="BW369" i="20"/>
  <c r="BV369" i="20"/>
  <c r="BU369" i="20"/>
  <c r="BT369" i="20"/>
  <c r="BS369" i="20"/>
  <c r="BR369" i="20"/>
  <c r="BQ369" i="20"/>
  <c r="BP369" i="20"/>
  <c r="BO369" i="20"/>
  <c r="BN369" i="20"/>
  <c r="BM369" i="20"/>
  <c r="BL369" i="20"/>
  <c r="BK369" i="20"/>
  <c r="BJ369" i="20"/>
  <c r="BI369" i="20"/>
  <c r="BH369" i="20"/>
  <c r="BG369" i="20"/>
  <c r="BF369" i="20"/>
  <c r="BE369" i="20"/>
  <c r="BD369" i="20"/>
  <c r="BC369" i="20"/>
  <c r="BB369" i="20"/>
  <c r="BA369" i="20"/>
  <c r="AZ369" i="20"/>
  <c r="AY369" i="20"/>
  <c r="AX369" i="20"/>
  <c r="AW369" i="20"/>
  <c r="AV369" i="20"/>
  <c r="AU369" i="20"/>
  <c r="AT369" i="20"/>
  <c r="AS369" i="20"/>
  <c r="AR369" i="20"/>
  <c r="AQ369" i="20"/>
  <c r="AP369" i="20"/>
  <c r="AO369" i="20"/>
  <c r="AN369" i="20"/>
  <c r="AM369" i="20"/>
  <c r="AL369" i="20"/>
  <c r="AK369" i="20"/>
  <c r="AJ369" i="20"/>
  <c r="AI369" i="20"/>
  <c r="AH369" i="20"/>
  <c r="AG369" i="20"/>
  <c r="AF369" i="20"/>
  <c r="AE369" i="20"/>
  <c r="AD369" i="20"/>
  <c r="AC369" i="20"/>
  <c r="AB369" i="20"/>
  <c r="AA369" i="20"/>
  <c r="Z369" i="20"/>
  <c r="Y369" i="20"/>
  <c r="X369" i="20"/>
  <c r="W369" i="20"/>
  <c r="V369" i="20"/>
  <c r="U369" i="20"/>
  <c r="T369" i="20"/>
  <c r="S369" i="20"/>
  <c r="R369" i="20"/>
  <c r="Q369" i="20"/>
  <c r="P369" i="20"/>
  <c r="O369" i="20"/>
  <c r="N369" i="20"/>
  <c r="M369" i="20"/>
  <c r="L369" i="20"/>
  <c r="K369" i="20"/>
  <c r="J369" i="20"/>
  <c r="I369" i="20"/>
  <c r="H369" i="20"/>
  <c r="G369" i="20"/>
  <c r="CI368" i="20"/>
  <c r="CH368" i="20"/>
  <c r="CG368" i="20"/>
  <c r="CF368" i="20"/>
  <c r="CE368" i="20"/>
  <c r="CD368" i="20"/>
  <c r="CC368" i="20"/>
  <c r="CB368" i="20"/>
  <c r="CA368" i="20"/>
  <c r="BZ368" i="20"/>
  <c r="BY368" i="20"/>
  <c r="BX368" i="20"/>
  <c r="BW368" i="20"/>
  <c r="BV368" i="20"/>
  <c r="BU368" i="20"/>
  <c r="BT368" i="20"/>
  <c r="BS368" i="20"/>
  <c r="BR368" i="20"/>
  <c r="BQ368" i="20"/>
  <c r="BP368" i="20"/>
  <c r="BO368" i="20"/>
  <c r="BN368" i="20"/>
  <c r="BM368" i="20"/>
  <c r="BL368" i="20"/>
  <c r="BK368" i="20"/>
  <c r="BJ368" i="20"/>
  <c r="BI368" i="20"/>
  <c r="BH368" i="20"/>
  <c r="BG368" i="20"/>
  <c r="BF368" i="20"/>
  <c r="BE368" i="20"/>
  <c r="BD368" i="20"/>
  <c r="BC368" i="20"/>
  <c r="BB368" i="20"/>
  <c r="BA368" i="20"/>
  <c r="AZ368" i="20"/>
  <c r="AY368" i="20"/>
  <c r="AX368" i="20"/>
  <c r="AW368" i="20"/>
  <c r="AV368" i="20"/>
  <c r="AU368" i="20"/>
  <c r="AT368" i="20"/>
  <c r="AS368" i="20"/>
  <c r="AR368" i="20"/>
  <c r="AQ368" i="20"/>
  <c r="AP368" i="20"/>
  <c r="AO368" i="20"/>
  <c r="AN368" i="20"/>
  <c r="AM368" i="20"/>
  <c r="AL368" i="20"/>
  <c r="AK368" i="20"/>
  <c r="AJ368" i="20"/>
  <c r="AI368" i="20"/>
  <c r="AH368" i="20"/>
  <c r="AG368" i="20"/>
  <c r="AF368" i="20"/>
  <c r="AE368" i="20"/>
  <c r="AD368" i="20"/>
  <c r="AC368" i="20"/>
  <c r="AB368" i="20"/>
  <c r="AA368" i="20"/>
  <c r="Z368" i="20"/>
  <c r="Y368" i="20"/>
  <c r="X368" i="20"/>
  <c r="W368" i="20"/>
  <c r="V368" i="20"/>
  <c r="U368" i="20"/>
  <c r="T368" i="20"/>
  <c r="S368" i="20"/>
  <c r="R368" i="20"/>
  <c r="Q368" i="20"/>
  <c r="P368" i="20"/>
  <c r="O368" i="20"/>
  <c r="N368" i="20"/>
  <c r="M368" i="20"/>
  <c r="L368" i="20"/>
  <c r="K368" i="20"/>
  <c r="J368" i="20"/>
  <c r="I368" i="20"/>
  <c r="H368" i="20"/>
  <c r="G368" i="20"/>
  <c r="G355" i="20"/>
  <c r="G354" i="20"/>
  <c r="G353" i="20"/>
  <c r="CI352" i="20"/>
  <c r="CH352" i="20"/>
  <c r="CG352" i="20"/>
  <c r="CF352" i="20"/>
  <c r="CE352" i="20"/>
  <c r="CD352" i="20"/>
  <c r="CC352" i="20"/>
  <c r="CB352" i="20"/>
  <c r="CA352" i="20"/>
  <c r="BZ352" i="20"/>
  <c r="BY352" i="20"/>
  <c r="BX352" i="20"/>
  <c r="BW352" i="20"/>
  <c r="BV352" i="20"/>
  <c r="BU352" i="20"/>
  <c r="BT352" i="20"/>
  <c r="BS352" i="20"/>
  <c r="BR352" i="20"/>
  <c r="BQ352" i="20"/>
  <c r="BP352" i="20"/>
  <c r="BO352" i="20"/>
  <c r="BN352" i="20"/>
  <c r="BM352" i="20"/>
  <c r="BL352" i="20"/>
  <c r="BK352" i="20"/>
  <c r="BJ352" i="20"/>
  <c r="BI352" i="20"/>
  <c r="BH352" i="20"/>
  <c r="BG352" i="20"/>
  <c r="BF352" i="20"/>
  <c r="BE352" i="20"/>
  <c r="BD352" i="20"/>
  <c r="BC352" i="20"/>
  <c r="BB352" i="20"/>
  <c r="BA352" i="20"/>
  <c r="AZ352" i="20"/>
  <c r="AY352" i="20"/>
  <c r="AX352" i="20"/>
  <c r="AW352" i="20"/>
  <c r="AV352" i="20"/>
  <c r="AU352" i="20"/>
  <c r="AT352" i="20"/>
  <c r="AS352" i="20"/>
  <c r="AR352" i="20"/>
  <c r="AQ352" i="20"/>
  <c r="AP352" i="20"/>
  <c r="AO352" i="20"/>
  <c r="AN352" i="20"/>
  <c r="AM352" i="20"/>
  <c r="AL352" i="20"/>
  <c r="AK352" i="20"/>
  <c r="AJ352" i="20"/>
  <c r="AI352" i="20"/>
  <c r="AH352" i="20"/>
  <c r="AG352" i="20"/>
  <c r="AF352" i="20"/>
  <c r="AE352" i="20"/>
  <c r="AD352" i="20"/>
  <c r="AC352" i="20"/>
  <c r="AB352" i="20"/>
  <c r="AA352" i="20"/>
  <c r="Z352" i="20"/>
  <c r="Y352" i="20"/>
  <c r="X352" i="20"/>
  <c r="W352" i="20"/>
  <c r="V352" i="20"/>
  <c r="U352" i="20"/>
  <c r="T352" i="20"/>
  <c r="S352" i="20"/>
  <c r="R352" i="20"/>
  <c r="Q352" i="20"/>
  <c r="P352" i="20"/>
  <c r="O352" i="20"/>
  <c r="N352" i="20"/>
  <c r="M352" i="20"/>
  <c r="L352" i="20"/>
  <c r="K352" i="20"/>
  <c r="J352" i="20"/>
  <c r="I352" i="20"/>
  <c r="H352" i="20"/>
  <c r="G352" i="20"/>
  <c r="G347" i="20"/>
  <c r="CI325" i="20"/>
  <c r="CH325" i="20"/>
  <c r="CG325" i="20"/>
  <c r="CF325" i="20"/>
  <c r="CE325" i="20"/>
  <c r="CD325" i="20"/>
  <c r="CC325" i="20"/>
  <c r="CB325" i="20"/>
  <c r="CA325" i="20"/>
  <c r="BZ325" i="20"/>
  <c r="BY325" i="20"/>
  <c r="BX325" i="20"/>
  <c r="BW325" i="20"/>
  <c r="BV325" i="20"/>
  <c r="BU325" i="20"/>
  <c r="BT325" i="20"/>
  <c r="BS325" i="20"/>
  <c r="BR325" i="20"/>
  <c r="BQ325" i="20"/>
  <c r="BP325" i="20"/>
  <c r="BO325" i="20"/>
  <c r="BN325" i="20"/>
  <c r="BM325" i="20"/>
  <c r="BL325" i="20"/>
  <c r="BK325" i="20"/>
  <c r="BJ325" i="20"/>
  <c r="BI325" i="20"/>
  <c r="BH325" i="20"/>
  <c r="BG325" i="20"/>
  <c r="BF325" i="20"/>
  <c r="BE325" i="20"/>
  <c r="BD325" i="20"/>
  <c r="BC325" i="20"/>
  <c r="BB325" i="20"/>
  <c r="BA325" i="20"/>
  <c r="AZ325" i="20"/>
  <c r="AY325" i="20"/>
  <c r="AX325" i="20"/>
  <c r="AW325" i="20"/>
  <c r="AV325" i="20"/>
  <c r="AU325" i="20"/>
  <c r="AT325" i="20"/>
  <c r="AS325" i="20"/>
  <c r="AR325" i="20"/>
  <c r="AQ325" i="20"/>
  <c r="AP325" i="20"/>
  <c r="AO325" i="20"/>
  <c r="AN325" i="20"/>
  <c r="AM325" i="20"/>
  <c r="AL325" i="20"/>
  <c r="AK325" i="20"/>
  <c r="AJ325" i="20"/>
  <c r="AI325" i="20"/>
  <c r="AH325" i="20"/>
  <c r="AG325" i="20"/>
  <c r="AF325" i="20"/>
  <c r="AE325" i="20"/>
  <c r="AD325" i="20"/>
  <c r="AC325" i="20"/>
  <c r="AB325" i="20"/>
  <c r="AA325" i="20"/>
  <c r="Z325" i="20"/>
  <c r="Y325" i="20"/>
  <c r="X325" i="20"/>
  <c r="W325" i="20"/>
  <c r="V325" i="20"/>
  <c r="U325" i="20"/>
  <c r="T325" i="20"/>
  <c r="S325" i="20"/>
  <c r="R325" i="20"/>
  <c r="Q325" i="20"/>
  <c r="P325" i="20"/>
  <c r="O325" i="20"/>
  <c r="N325" i="20"/>
  <c r="M325" i="20"/>
  <c r="L325" i="20"/>
  <c r="K325" i="20"/>
  <c r="J325" i="20"/>
  <c r="I325" i="20"/>
  <c r="H325" i="20"/>
  <c r="G325" i="20"/>
  <c r="CI324" i="20"/>
  <c r="CH324" i="20"/>
  <c r="CG324" i="20"/>
  <c r="CF324" i="20"/>
  <c r="CE324" i="20"/>
  <c r="CD324" i="20"/>
  <c r="CC324" i="20"/>
  <c r="CB324" i="20"/>
  <c r="CA324" i="20"/>
  <c r="BZ324" i="20"/>
  <c r="BY324" i="20"/>
  <c r="BX324" i="20"/>
  <c r="BW324" i="20"/>
  <c r="BV324" i="20"/>
  <c r="BU324" i="20"/>
  <c r="BT324" i="20"/>
  <c r="BS324" i="20"/>
  <c r="BR324" i="20"/>
  <c r="BQ324" i="20"/>
  <c r="BP324" i="20"/>
  <c r="BO324" i="20"/>
  <c r="BN324" i="20"/>
  <c r="BM324" i="20"/>
  <c r="BL324" i="20"/>
  <c r="BK324" i="20"/>
  <c r="BJ324" i="20"/>
  <c r="BI324" i="20"/>
  <c r="BH324" i="20"/>
  <c r="BG324" i="20"/>
  <c r="BF324" i="20"/>
  <c r="BE324" i="20"/>
  <c r="BD324" i="20"/>
  <c r="BC324" i="20"/>
  <c r="BB324" i="20"/>
  <c r="BA324" i="20"/>
  <c r="AZ324" i="20"/>
  <c r="AY324" i="20"/>
  <c r="AX324" i="20"/>
  <c r="AW324" i="20"/>
  <c r="AV324" i="20"/>
  <c r="AU324" i="20"/>
  <c r="AT324" i="20"/>
  <c r="AS324" i="20"/>
  <c r="AR324" i="20"/>
  <c r="AQ324" i="20"/>
  <c r="AP324" i="20"/>
  <c r="AO324" i="20"/>
  <c r="AN324" i="20"/>
  <c r="AM324" i="20"/>
  <c r="AL324" i="20"/>
  <c r="AK324" i="20"/>
  <c r="AJ324" i="20"/>
  <c r="AI324" i="20"/>
  <c r="AH324" i="20"/>
  <c r="AG324" i="20"/>
  <c r="AF324" i="20"/>
  <c r="AE324" i="20"/>
  <c r="AD324" i="20"/>
  <c r="AC324" i="20"/>
  <c r="AB324" i="20"/>
  <c r="AA324" i="20"/>
  <c r="Z324" i="20"/>
  <c r="Y324" i="20"/>
  <c r="X324" i="20"/>
  <c r="W324" i="20"/>
  <c r="V324" i="20"/>
  <c r="U324" i="20"/>
  <c r="T324" i="20"/>
  <c r="S324" i="20"/>
  <c r="R324" i="20"/>
  <c r="Q324" i="20"/>
  <c r="P324" i="20"/>
  <c r="O324" i="20"/>
  <c r="N324" i="20"/>
  <c r="M324" i="20"/>
  <c r="L324" i="20"/>
  <c r="K324" i="20"/>
  <c r="J324" i="20"/>
  <c r="I324" i="20"/>
  <c r="H324" i="20"/>
  <c r="G324" i="20"/>
  <c r="CI319" i="20"/>
  <c r="CH319" i="20"/>
  <c r="CG319" i="20"/>
  <c r="CF319" i="20"/>
  <c r="CE319" i="20"/>
  <c r="CD319" i="20"/>
  <c r="CC319" i="20"/>
  <c r="CB319" i="20"/>
  <c r="CA319" i="20"/>
  <c r="BZ319" i="20"/>
  <c r="BY319" i="20"/>
  <c r="BX319" i="20"/>
  <c r="BW319" i="20"/>
  <c r="BV319" i="20"/>
  <c r="BU319" i="20"/>
  <c r="BT319" i="20"/>
  <c r="BS319" i="20"/>
  <c r="BR319" i="20"/>
  <c r="BQ319" i="20"/>
  <c r="BP319" i="20"/>
  <c r="BO319" i="20"/>
  <c r="BN319" i="20"/>
  <c r="BM319" i="20"/>
  <c r="BL319" i="20"/>
  <c r="BK319" i="20"/>
  <c r="BJ319" i="20"/>
  <c r="BI319" i="20"/>
  <c r="BH319" i="20"/>
  <c r="BG319" i="20"/>
  <c r="BF319" i="20"/>
  <c r="BE319" i="20"/>
  <c r="BD319" i="20"/>
  <c r="BC319" i="20"/>
  <c r="BB319" i="20"/>
  <c r="BA319" i="20"/>
  <c r="AZ319" i="20"/>
  <c r="AY319" i="20"/>
  <c r="AX319" i="20"/>
  <c r="AW319" i="20"/>
  <c r="AV319" i="20"/>
  <c r="AU319" i="20"/>
  <c r="AT319" i="20"/>
  <c r="AS319" i="20"/>
  <c r="AR319" i="20"/>
  <c r="AQ319" i="20"/>
  <c r="AP319" i="20"/>
  <c r="AO319" i="20"/>
  <c r="AN319" i="20"/>
  <c r="AM319" i="20"/>
  <c r="AL319" i="20"/>
  <c r="AK319" i="20"/>
  <c r="AJ319" i="20"/>
  <c r="AI319" i="20"/>
  <c r="AH319" i="20"/>
  <c r="AG319" i="20"/>
  <c r="AF319" i="20"/>
  <c r="AE319" i="20"/>
  <c r="AD319" i="20"/>
  <c r="AC319" i="20"/>
  <c r="AB319" i="20"/>
  <c r="AA319" i="20"/>
  <c r="Z319" i="20"/>
  <c r="Y319" i="20"/>
  <c r="X319" i="20"/>
  <c r="W319" i="20"/>
  <c r="V319" i="20"/>
  <c r="U319" i="20"/>
  <c r="T319" i="20"/>
  <c r="S319" i="20"/>
  <c r="R319" i="20"/>
  <c r="Q319" i="20"/>
  <c r="P319" i="20"/>
  <c r="O319" i="20"/>
  <c r="N319" i="20"/>
  <c r="M319" i="20"/>
  <c r="L319" i="20"/>
  <c r="K319" i="20"/>
  <c r="J319" i="20"/>
  <c r="I319" i="20"/>
  <c r="H319" i="20"/>
  <c r="G319" i="20"/>
  <c r="CI318" i="20"/>
  <c r="CH318" i="20"/>
  <c r="CG318" i="20"/>
  <c r="CF318" i="20"/>
  <c r="CE318" i="20"/>
  <c r="CD318" i="20"/>
  <c r="CC318" i="20"/>
  <c r="CB318" i="20"/>
  <c r="CA318" i="20"/>
  <c r="BZ318" i="20"/>
  <c r="BY318" i="20"/>
  <c r="BX318" i="20"/>
  <c r="BW318" i="20"/>
  <c r="BV318" i="20"/>
  <c r="BU318" i="20"/>
  <c r="BT318" i="20"/>
  <c r="BS318" i="20"/>
  <c r="BR318" i="20"/>
  <c r="BQ318" i="20"/>
  <c r="BP318" i="20"/>
  <c r="BO318" i="20"/>
  <c r="BN318" i="20"/>
  <c r="BM318" i="20"/>
  <c r="BL318" i="20"/>
  <c r="BK318" i="20"/>
  <c r="BJ318" i="20"/>
  <c r="BI318" i="20"/>
  <c r="BH318" i="20"/>
  <c r="BG318" i="20"/>
  <c r="BF318" i="20"/>
  <c r="BE318" i="20"/>
  <c r="BD318" i="20"/>
  <c r="BC318" i="20"/>
  <c r="BB318" i="20"/>
  <c r="BA318" i="20"/>
  <c r="AZ318" i="20"/>
  <c r="AY318" i="20"/>
  <c r="AX318" i="20"/>
  <c r="AW318" i="20"/>
  <c r="AV318" i="20"/>
  <c r="AU318" i="20"/>
  <c r="AT318" i="20"/>
  <c r="AS318" i="20"/>
  <c r="AR318" i="20"/>
  <c r="AQ318" i="20"/>
  <c r="AP318" i="20"/>
  <c r="AO318" i="20"/>
  <c r="AN318" i="20"/>
  <c r="AM318" i="20"/>
  <c r="AL318" i="20"/>
  <c r="AK318" i="20"/>
  <c r="AJ318" i="20"/>
  <c r="AI318" i="20"/>
  <c r="AH318" i="20"/>
  <c r="AG318" i="20"/>
  <c r="AF318" i="20"/>
  <c r="AE318" i="20"/>
  <c r="AD318" i="20"/>
  <c r="AC318" i="20"/>
  <c r="AB318" i="20"/>
  <c r="AA318" i="20"/>
  <c r="Z318" i="20"/>
  <c r="Y318" i="20"/>
  <c r="X318" i="20"/>
  <c r="W318" i="20"/>
  <c r="V318" i="20"/>
  <c r="U318" i="20"/>
  <c r="T318" i="20"/>
  <c r="S318" i="20"/>
  <c r="R318" i="20"/>
  <c r="Q318" i="20"/>
  <c r="P318" i="20"/>
  <c r="O318" i="20"/>
  <c r="N318" i="20"/>
  <c r="M318" i="20"/>
  <c r="L318" i="20"/>
  <c r="K318" i="20"/>
  <c r="J318" i="20"/>
  <c r="I318" i="20"/>
  <c r="H318" i="20"/>
  <c r="G318" i="20"/>
  <c r="CI317" i="20"/>
  <c r="CH317" i="20"/>
  <c r="CG317" i="20"/>
  <c r="CF317" i="20"/>
  <c r="CE317" i="20"/>
  <c r="CD317" i="20"/>
  <c r="CC317" i="20"/>
  <c r="CB317" i="20"/>
  <c r="CA317" i="20"/>
  <c r="BZ317" i="20"/>
  <c r="BY317" i="20"/>
  <c r="BX317" i="20"/>
  <c r="BW317" i="20"/>
  <c r="BV317" i="20"/>
  <c r="BU317" i="20"/>
  <c r="BT317" i="20"/>
  <c r="BS317" i="20"/>
  <c r="BR317" i="20"/>
  <c r="BQ317" i="20"/>
  <c r="BP317" i="20"/>
  <c r="BO317" i="20"/>
  <c r="BN317" i="20"/>
  <c r="BM317" i="20"/>
  <c r="BL317" i="20"/>
  <c r="BK317" i="20"/>
  <c r="BJ317" i="20"/>
  <c r="BI317" i="20"/>
  <c r="BH317" i="20"/>
  <c r="BG317" i="20"/>
  <c r="BF317" i="20"/>
  <c r="BE317" i="20"/>
  <c r="BD317" i="20"/>
  <c r="BC317" i="20"/>
  <c r="BB317" i="20"/>
  <c r="BA317" i="20"/>
  <c r="AZ317" i="20"/>
  <c r="AY317" i="20"/>
  <c r="AX317" i="20"/>
  <c r="AW317" i="20"/>
  <c r="AV317" i="20"/>
  <c r="AU317" i="20"/>
  <c r="AT317" i="20"/>
  <c r="AS317" i="20"/>
  <c r="AR317" i="20"/>
  <c r="AQ317" i="20"/>
  <c r="AP317" i="20"/>
  <c r="AO317" i="20"/>
  <c r="AN317" i="20"/>
  <c r="AM317" i="20"/>
  <c r="AL317" i="20"/>
  <c r="AK317" i="20"/>
  <c r="AJ317" i="20"/>
  <c r="AI317" i="20"/>
  <c r="AH317" i="20"/>
  <c r="AG317" i="20"/>
  <c r="AF317" i="20"/>
  <c r="AE317" i="20"/>
  <c r="AD317" i="20"/>
  <c r="AC317" i="20"/>
  <c r="AB317" i="20"/>
  <c r="AA317" i="20"/>
  <c r="Z317" i="20"/>
  <c r="Y317" i="20"/>
  <c r="X317" i="20"/>
  <c r="W317" i="20"/>
  <c r="V317" i="20"/>
  <c r="U317" i="20"/>
  <c r="T317" i="20"/>
  <c r="S317" i="20"/>
  <c r="R317" i="20"/>
  <c r="Q317" i="20"/>
  <c r="P317" i="20"/>
  <c r="O317" i="20"/>
  <c r="N317" i="20"/>
  <c r="M317" i="20"/>
  <c r="L317" i="20"/>
  <c r="K317" i="20"/>
  <c r="J317" i="20"/>
  <c r="I317" i="20"/>
  <c r="H317" i="20"/>
  <c r="G317" i="20"/>
  <c r="CI316" i="20"/>
  <c r="CH316" i="20"/>
  <c r="CG316" i="20"/>
  <c r="CF316" i="20"/>
  <c r="CE316" i="20"/>
  <c r="CD316" i="20"/>
  <c r="CC316" i="20"/>
  <c r="CB316" i="20"/>
  <c r="CA316" i="20"/>
  <c r="BZ316" i="20"/>
  <c r="BY316" i="20"/>
  <c r="BX316" i="20"/>
  <c r="BW316" i="20"/>
  <c r="BV316" i="20"/>
  <c r="BU316" i="20"/>
  <c r="BT316" i="20"/>
  <c r="BS316" i="20"/>
  <c r="BR316" i="20"/>
  <c r="BQ316" i="20"/>
  <c r="BP316" i="20"/>
  <c r="BO316" i="20"/>
  <c r="BN316" i="20"/>
  <c r="BM316" i="20"/>
  <c r="BL316" i="20"/>
  <c r="BK316" i="20"/>
  <c r="BJ316" i="20"/>
  <c r="BI316" i="20"/>
  <c r="BH316" i="20"/>
  <c r="BG316" i="20"/>
  <c r="BF316" i="20"/>
  <c r="BE316" i="20"/>
  <c r="BD316" i="20"/>
  <c r="BC316" i="20"/>
  <c r="BB316" i="20"/>
  <c r="BA316" i="20"/>
  <c r="AZ316" i="20"/>
  <c r="AY316" i="20"/>
  <c r="AX316" i="20"/>
  <c r="AW316" i="20"/>
  <c r="AV316" i="20"/>
  <c r="AU316" i="20"/>
  <c r="AT316" i="20"/>
  <c r="AS316" i="20"/>
  <c r="AR316" i="20"/>
  <c r="AQ316" i="20"/>
  <c r="AP316" i="20"/>
  <c r="AO316" i="20"/>
  <c r="AN316" i="20"/>
  <c r="AM316" i="20"/>
  <c r="AL316" i="20"/>
  <c r="AK316" i="20"/>
  <c r="AJ316" i="20"/>
  <c r="AI316" i="20"/>
  <c r="AH316" i="20"/>
  <c r="AG316" i="20"/>
  <c r="AF316" i="20"/>
  <c r="AE316" i="20"/>
  <c r="AD316" i="20"/>
  <c r="AC316" i="20"/>
  <c r="AB316" i="20"/>
  <c r="AA316" i="20"/>
  <c r="Z316" i="20"/>
  <c r="Y316" i="20"/>
  <c r="X316" i="20"/>
  <c r="W316" i="20"/>
  <c r="V316" i="20"/>
  <c r="U316" i="20"/>
  <c r="T316" i="20"/>
  <c r="S316" i="20"/>
  <c r="R316" i="20"/>
  <c r="Q316" i="20"/>
  <c r="P316" i="20"/>
  <c r="O316" i="20"/>
  <c r="N316" i="20"/>
  <c r="M316" i="20"/>
  <c r="L316" i="20"/>
  <c r="K316" i="20"/>
  <c r="J316" i="20"/>
  <c r="I316" i="20"/>
  <c r="H316" i="20"/>
  <c r="G316" i="20"/>
  <c r="CI314" i="20"/>
  <c r="CH314" i="20"/>
  <c r="CG314" i="20"/>
  <c r="CF314" i="20"/>
  <c r="CE314" i="20"/>
  <c r="CD314" i="20"/>
  <c r="CC314" i="20"/>
  <c r="CB314" i="20"/>
  <c r="CA314" i="20"/>
  <c r="BZ314" i="20"/>
  <c r="BY314" i="20"/>
  <c r="BX314" i="20"/>
  <c r="BW314" i="20"/>
  <c r="BV314" i="20"/>
  <c r="BU314" i="20"/>
  <c r="BT314" i="20"/>
  <c r="BS314" i="20"/>
  <c r="BR314" i="20"/>
  <c r="BQ314" i="20"/>
  <c r="BP314" i="20"/>
  <c r="BO314" i="20"/>
  <c r="BN314" i="20"/>
  <c r="BM314" i="20"/>
  <c r="BL314" i="20"/>
  <c r="BK314" i="20"/>
  <c r="BJ314" i="20"/>
  <c r="BI314" i="20"/>
  <c r="BH314" i="20"/>
  <c r="BG314" i="20"/>
  <c r="BF314" i="20"/>
  <c r="BE314" i="20"/>
  <c r="BD314" i="20"/>
  <c r="BC314" i="20"/>
  <c r="BB314" i="20"/>
  <c r="BA314" i="20"/>
  <c r="AZ314" i="20"/>
  <c r="AY314" i="20"/>
  <c r="AX314" i="20"/>
  <c r="AW314" i="20"/>
  <c r="AV314" i="20"/>
  <c r="AU314" i="20"/>
  <c r="AT314" i="20"/>
  <c r="AS314" i="20"/>
  <c r="AR314" i="20"/>
  <c r="AQ314" i="20"/>
  <c r="AP314" i="20"/>
  <c r="AO314" i="20"/>
  <c r="AN314" i="20"/>
  <c r="AM314" i="20"/>
  <c r="AL314" i="20"/>
  <c r="AK314" i="20"/>
  <c r="AJ314" i="20"/>
  <c r="AI314" i="20"/>
  <c r="AH314" i="20"/>
  <c r="AG314" i="20"/>
  <c r="AF314" i="20"/>
  <c r="AE314" i="20"/>
  <c r="AD314" i="20"/>
  <c r="AC314" i="20"/>
  <c r="AB314" i="20"/>
  <c r="AA314" i="20"/>
  <c r="Z314" i="20"/>
  <c r="Y314" i="20"/>
  <c r="X314" i="20"/>
  <c r="W314" i="20"/>
  <c r="V314" i="20"/>
  <c r="U314" i="20"/>
  <c r="T314" i="20"/>
  <c r="S314" i="20"/>
  <c r="R314" i="20"/>
  <c r="Q314" i="20"/>
  <c r="P314" i="20"/>
  <c r="O314" i="20"/>
  <c r="N314" i="20"/>
  <c r="M314" i="20"/>
  <c r="L314" i="20"/>
  <c r="K314" i="20"/>
  <c r="J314" i="20"/>
  <c r="I314" i="20"/>
  <c r="H314" i="20"/>
  <c r="G314" i="20"/>
  <c r="CI311" i="20"/>
  <c r="CH311" i="20"/>
  <c r="CG311" i="20"/>
  <c r="CF311" i="20"/>
  <c r="CE311" i="20"/>
  <c r="CD311" i="20"/>
  <c r="CC311" i="20"/>
  <c r="CB311" i="20"/>
  <c r="CA311" i="20"/>
  <c r="BZ311" i="20"/>
  <c r="BY311" i="20"/>
  <c r="BX311" i="20"/>
  <c r="BW311" i="20"/>
  <c r="BV311" i="20"/>
  <c r="BU311" i="20"/>
  <c r="BT311" i="20"/>
  <c r="BS311" i="20"/>
  <c r="BR311" i="20"/>
  <c r="BQ311" i="20"/>
  <c r="BP311" i="20"/>
  <c r="BO311" i="20"/>
  <c r="BN311" i="20"/>
  <c r="BM311" i="20"/>
  <c r="BL311" i="20"/>
  <c r="BK311" i="20"/>
  <c r="BJ311" i="20"/>
  <c r="BI311" i="20"/>
  <c r="BH311" i="20"/>
  <c r="BG311" i="20"/>
  <c r="BF311" i="20"/>
  <c r="BE311" i="20"/>
  <c r="BD311" i="20"/>
  <c r="BC311" i="20"/>
  <c r="BB311" i="20"/>
  <c r="BA311" i="20"/>
  <c r="AZ311" i="20"/>
  <c r="AY311" i="20"/>
  <c r="AX311" i="20"/>
  <c r="AW311" i="20"/>
  <c r="AV311" i="20"/>
  <c r="AU311" i="20"/>
  <c r="AT311" i="20"/>
  <c r="AS311" i="20"/>
  <c r="AR311" i="20"/>
  <c r="AQ311" i="20"/>
  <c r="AP311" i="20"/>
  <c r="AO311" i="20"/>
  <c r="AN311" i="20"/>
  <c r="AM311" i="20"/>
  <c r="AL311" i="20"/>
  <c r="AK311" i="20"/>
  <c r="AJ311" i="20"/>
  <c r="AI311" i="20"/>
  <c r="AH311" i="20"/>
  <c r="AG311" i="20"/>
  <c r="AF311" i="20"/>
  <c r="AE311" i="20"/>
  <c r="AD311" i="20"/>
  <c r="AC311" i="20"/>
  <c r="AB311" i="20"/>
  <c r="AA311" i="20"/>
  <c r="Z311" i="20"/>
  <c r="Y311" i="20"/>
  <c r="X311" i="20"/>
  <c r="W311" i="20"/>
  <c r="V311" i="20"/>
  <c r="U311" i="20"/>
  <c r="T311" i="20"/>
  <c r="S311" i="20"/>
  <c r="R311" i="20"/>
  <c r="Q311" i="20"/>
  <c r="P311" i="20"/>
  <c r="O311" i="20"/>
  <c r="N311" i="20"/>
  <c r="M311" i="20"/>
  <c r="L311" i="20"/>
  <c r="K311" i="20"/>
  <c r="J311" i="20"/>
  <c r="I311" i="20"/>
  <c r="H311" i="20"/>
  <c r="G311" i="20"/>
  <c r="CI310" i="20"/>
  <c r="CH310" i="20"/>
  <c r="CG310" i="20"/>
  <c r="CF310" i="20"/>
  <c r="CE310" i="20"/>
  <c r="CD310" i="20"/>
  <c r="CC310" i="20"/>
  <c r="CB310" i="20"/>
  <c r="CA310" i="20"/>
  <c r="BZ310" i="20"/>
  <c r="BY310" i="20"/>
  <c r="BX310" i="20"/>
  <c r="BW310" i="20"/>
  <c r="BV310" i="20"/>
  <c r="BU310" i="20"/>
  <c r="BT310" i="20"/>
  <c r="BS310" i="20"/>
  <c r="BR310" i="20"/>
  <c r="BQ310" i="20"/>
  <c r="BP310" i="20"/>
  <c r="BO310" i="20"/>
  <c r="BN310" i="20"/>
  <c r="BM310" i="20"/>
  <c r="BL310" i="20"/>
  <c r="BK310" i="20"/>
  <c r="BJ310" i="20"/>
  <c r="BI310" i="20"/>
  <c r="BH310" i="20"/>
  <c r="BG310" i="20"/>
  <c r="BF310" i="20"/>
  <c r="BE310" i="20"/>
  <c r="BD310" i="20"/>
  <c r="BC310" i="20"/>
  <c r="BB310" i="20"/>
  <c r="BA310" i="20"/>
  <c r="AZ310" i="20"/>
  <c r="AY310" i="20"/>
  <c r="AX310" i="20"/>
  <c r="AW310" i="20"/>
  <c r="AV310" i="20"/>
  <c r="AU310" i="20"/>
  <c r="AT310" i="20"/>
  <c r="AS310" i="20"/>
  <c r="AR310" i="20"/>
  <c r="AQ310" i="20"/>
  <c r="AP310" i="20"/>
  <c r="AO310" i="20"/>
  <c r="AN310" i="20"/>
  <c r="AM310" i="20"/>
  <c r="AL310" i="20"/>
  <c r="AK310" i="20"/>
  <c r="AJ310" i="20"/>
  <c r="AI310" i="20"/>
  <c r="AH310" i="20"/>
  <c r="AG310" i="20"/>
  <c r="AF310" i="20"/>
  <c r="AE310" i="20"/>
  <c r="AD310" i="20"/>
  <c r="AC310" i="20"/>
  <c r="AB310" i="20"/>
  <c r="AA310" i="20"/>
  <c r="Z310" i="20"/>
  <c r="Y310" i="20"/>
  <c r="X310" i="20"/>
  <c r="W310" i="20"/>
  <c r="V310" i="20"/>
  <c r="U310" i="20"/>
  <c r="T310" i="20"/>
  <c r="S310" i="20"/>
  <c r="R310" i="20"/>
  <c r="Q310" i="20"/>
  <c r="P310" i="20"/>
  <c r="O310" i="20"/>
  <c r="N310" i="20"/>
  <c r="M310" i="20"/>
  <c r="L310" i="20"/>
  <c r="K310" i="20"/>
  <c r="J310" i="20"/>
  <c r="I310" i="20"/>
  <c r="H310" i="20"/>
  <c r="G310" i="20"/>
  <c r="CI308" i="20"/>
  <c r="CH308" i="20"/>
  <c r="CG308" i="20"/>
  <c r="CF308" i="20"/>
  <c r="CE308" i="20"/>
  <c r="CD308" i="20"/>
  <c r="CC308" i="20"/>
  <c r="CB308" i="20"/>
  <c r="CA308" i="20"/>
  <c r="BZ308" i="20"/>
  <c r="BY308" i="20"/>
  <c r="BX308" i="20"/>
  <c r="BW308" i="20"/>
  <c r="BV308" i="20"/>
  <c r="BU308" i="20"/>
  <c r="BT308" i="20"/>
  <c r="BS308" i="20"/>
  <c r="BR308" i="20"/>
  <c r="BQ308" i="20"/>
  <c r="BP308" i="20"/>
  <c r="BO308" i="20"/>
  <c r="BN308" i="20"/>
  <c r="BM308" i="20"/>
  <c r="BL308" i="20"/>
  <c r="BK308" i="20"/>
  <c r="BJ308" i="20"/>
  <c r="BI308" i="20"/>
  <c r="BH308" i="20"/>
  <c r="BG308" i="20"/>
  <c r="BF308" i="20"/>
  <c r="BE308" i="20"/>
  <c r="BD308" i="20"/>
  <c r="BC308" i="20"/>
  <c r="BB308" i="20"/>
  <c r="BA308" i="20"/>
  <c r="AZ308" i="20"/>
  <c r="AY308" i="20"/>
  <c r="AX308" i="20"/>
  <c r="AW308" i="20"/>
  <c r="AV308" i="20"/>
  <c r="AU308" i="20"/>
  <c r="AT308" i="20"/>
  <c r="AS308" i="20"/>
  <c r="AR308" i="20"/>
  <c r="AQ308" i="20"/>
  <c r="AP308" i="20"/>
  <c r="AO308" i="20"/>
  <c r="AN308" i="20"/>
  <c r="AM308" i="20"/>
  <c r="AL308" i="20"/>
  <c r="AK308" i="20"/>
  <c r="AJ308" i="20"/>
  <c r="AI308" i="20"/>
  <c r="AH308" i="20"/>
  <c r="AG308" i="20"/>
  <c r="AF308" i="20"/>
  <c r="AE308" i="20"/>
  <c r="AD308" i="20"/>
  <c r="AC308" i="20"/>
  <c r="AB308" i="20"/>
  <c r="AA308" i="20"/>
  <c r="Z308" i="20"/>
  <c r="Y308" i="20"/>
  <c r="X308" i="20"/>
  <c r="W308" i="20"/>
  <c r="V308" i="20"/>
  <c r="U308" i="20"/>
  <c r="T308" i="20"/>
  <c r="S308" i="20"/>
  <c r="R308" i="20"/>
  <c r="Q308" i="20"/>
  <c r="P308" i="20"/>
  <c r="O308" i="20"/>
  <c r="N308" i="20"/>
  <c r="M308" i="20"/>
  <c r="L308" i="20"/>
  <c r="K308" i="20"/>
  <c r="J308" i="20"/>
  <c r="I308" i="20"/>
  <c r="H308" i="20"/>
  <c r="CI306" i="20"/>
  <c r="CH306" i="20"/>
  <c r="CG306" i="20"/>
  <c r="CF306" i="20"/>
  <c r="CE306" i="20"/>
  <c r="CD306" i="20"/>
  <c r="CC306" i="20"/>
  <c r="CB306" i="20"/>
  <c r="CA306" i="20"/>
  <c r="BZ306" i="20"/>
  <c r="BY306" i="20"/>
  <c r="BX306" i="20"/>
  <c r="BW306" i="20"/>
  <c r="BV306" i="20"/>
  <c r="BU306" i="20"/>
  <c r="BT306" i="20"/>
  <c r="BS306" i="20"/>
  <c r="BR306" i="20"/>
  <c r="BQ306" i="20"/>
  <c r="BP306" i="20"/>
  <c r="BO306" i="20"/>
  <c r="BN306" i="20"/>
  <c r="BM306" i="20"/>
  <c r="BL306" i="20"/>
  <c r="BK306" i="20"/>
  <c r="BJ306" i="20"/>
  <c r="BI306" i="20"/>
  <c r="BH306" i="20"/>
  <c r="BG306" i="20"/>
  <c r="BF306" i="20"/>
  <c r="BE306" i="20"/>
  <c r="BD306" i="20"/>
  <c r="BC306" i="20"/>
  <c r="BB306" i="20"/>
  <c r="BA306" i="20"/>
  <c r="AZ306" i="20"/>
  <c r="AY306" i="20"/>
  <c r="AX306" i="20"/>
  <c r="AW306" i="20"/>
  <c r="AV306" i="20"/>
  <c r="AU306" i="20"/>
  <c r="AT306" i="20"/>
  <c r="AS306" i="20"/>
  <c r="AR306" i="20"/>
  <c r="AQ306" i="20"/>
  <c r="AP306" i="20"/>
  <c r="AO306" i="20"/>
  <c r="AN306" i="20"/>
  <c r="AM306" i="20"/>
  <c r="AL306" i="20"/>
  <c r="AK306" i="20"/>
  <c r="AJ306" i="20"/>
  <c r="AI306" i="20"/>
  <c r="AH306" i="20"/>
  <c r="AG306" i="20"/>
  <c r="AF306" i="20"/>
  <c r="AE306" i="20"/>
  <c r="AD306" i="20"/>
  <c r="AC306" i="20"/>
  <c r="AB306" i="20"/>
  <c r="AA306" i="20"/>
  <c r="Z306" i="20"/>
  <c r="Y306" i="20"/>
  <c r="X306" i="20"/>
  <c r="W306" i="20"/>
  <c r="V306" i="20"/>
  <c r="U306" i="20"/>
  <c r="T306" i="20"/>
  <c r="S306" i="20"/>
  <c r="R306" i="20"/>
  <c r="Q306" i="20"/>
  <c r="P306" i="20"/>
  <c r="O306" i="20"/>
  <c r="N306" i="20"/>
  <c r="M306" i="20"/>
  <c r="L306" i="20"/>
  <c r="K306" i="20"/>
  <c r="J306" i="20"/>
  <c r="I306" i="20"/>
  <c r="H306" i="20"/>
  <c r="G306" i="20"/>
  <c r="CI305" i="20"/>
  <c r="CH305" i="20"/>
  <c r="CG305" i="20"/>
  <c r="CF305" i="20"/>
  <c r="CE305" i="20"/>
  <c r="CD305" i="20"/>
  <c r="CC305" i="20"/>
  <c r="CB305" i="20"/>
  <c r="CA305" i="20"/>
  <c r="BZ305" i="20"/>
  <c r="BY305" i="20"/>
  <c r="BX305" i="20"/>
  <c r="BW305" i="20"/>
  <c r="BV305" i="20"/>
  <c r="BU305" i="20"/>
  <c r="BT305" i="20"/>
  <c r="BS305" i="20"/>
  <c r="BR305" i="20"/>
  <c r="BQ305" i="20"/>
  <c r="BP305" i="20"/>
  <c r="BO305" i="20"/>
  <c r="BN305" i="20"/>
  <c r="BM305" i="20"/>
  <c r="BL305" i="20"/>
  <c r="BK305" i="20"/>
  <c r="BJ305" i="20"/>
  <c r="BI305" i="20"/>
  <c r="BH305" i="20"/>
  <c r="BG305" i="20"/>
  <c r="BF305" i="20"/>
  <c r="BE305" i="20"/>
  <c r="BD305" i="20"/>
  <c r="BC305" i="20"/>
  <c r="BB305" i="20"/>
  <c r="BA305" i="20"/>
  <c r="AZ305" i="20"/>
  <c r="AY305" i="20"/>
  <c r="AX305" i="20"/>
  <c r="AW305" i="20"/>
  <c r="AV305" i="20"/>
  <c r="AU305" i="20"/>
  <c r="AT305" i="20"/>
  <c r="AS305" i="20"/>
  <c r="AR305" i="20"/>
  <c r="AQ305" i="20"/>
  <c r="AP305" i="20"/>
  <c r="AO305" i="20"/>
  <c r="AN305" i="20"/>
  <c r="AM305" i="20"/>
  <c r="AL305" i="20"/>
  <c r="AK305" i="20"/>
  <c r="AJ305" i="20"/>
  <c r="AI305" i="20"/>
  <c r="AH305" i="20"/>
  <c r="AG305" i="20"/>
  <c r="AF305" i="20"/>
  <c r="AE305" i="20"/>
  <c r="AD305" i="20"/>
  <c r="AC305" i="20"/>
  <c r="AB305" i="20"/>
  <c r="AA305" i="20"/>
  <c r="Z305" i="20"/>
  <c r="Y305" i="20"/>
  <c r="X305" i="20"/>
  <c r="W305" i="20"/>
  <c r="V305" i="20"/>
  <c r="U305" i="20"/>
  <c r="T305" i="20"/>
  <c r="S305" i="20"/>
  <c r="R305" i="20"/>
  <c r="Q305" i="20"/>
  <c r="P305" i="20"/>
  <c r="O305" i="20"/>
  <c r="N305" i="20"/>
  <c r="M305" i="20"/>
  <c r="L305" i="20"/>
  <c r="K305" i="20"/>
  <c r="J305" i="20"/>
  <c r="I305" i="20"/>
  <c r="H305" i="20"/>
  <c r="H269" i="20"/>
  <c r="G269" i="20"/>
  <c r="CI205" i="20"/>
  <c r="CH205" i="20"/>
  <c r="CG205" i="20"/>
  <c r="CF205" i="20"/>
  <c r="CE205" i="20"/>
  <c r="CD205" i="20"/>
  <c r="CC205" i="20"/>
  <c r="CB205" i="20"/>
  <c r="CA205" i="20"/>
  <c r="BZ205" i="20"/>
  <c r="BY205" i="20"/>
  <c r="BX205" i="20"/>
  <c r="BW205" i="20"/>
  <c r="BV205" i="20"/>
  <c r="BU205" i="20"/>
  <c r="BT205" i="20"/>
  <c r="BS205" i="20"/>
  <c r="BR205" i="20"/>
  <c r="BQ205" i="20"/>
  <c r="BP205" i="20"/>
  <c r="BO205" i="20"/>
  <c r="BN205" i="20"/>
  <c r="BM205" i="20"/>
  <c r="BL205" i="20"/>
  <c r="BK205" i="20"/>
  <c r="BJ205" i="20"/>
  <c r="BI205" i="20"/>
  <c r="BH205" i="20"/>
  <c r="BG205" i="20"/>
  <c r="BF205" i="20"/>
  <c r="BE205" i="20"/>
  <c r="BD205" i="20"/>
  <c r="BC205" i="20"/>
  <c r="BB205" i="20"/>
  <c r="BA205" i="20"/>
  <c r="AZ205" i="20"/>
  <c r="AY205" i="20"/>
  <c r="AX205" i="20"/>
  <c r="AW205" i="20"/>
  <c r="AV205" i="20"/>
  <c r="AU205" i="20"/>
  <c r="AT205" i="20"/>
  <c r="AS205" i="20"/>
  <c r="AR205" i="20"/>
  <c r="AQ205" i="20"/>
  <c r="AP205" i="20"/>
  <c r="AO205" i="20"/>
  <c r="AN205" i="20"/>
  <c r="AM205" i="20"/>
  <c r="AL205" i="20"/>
  <c r="AK205" i="20"/>
  <c r="AJ205" i="20"/>
  <c r="AI205" i="20"/>
  <c r="AH205" i="20"/>
  <c r="AG205" i="20"/>
  <c r="AF205" i="20"/>
  <c r="AE205" i="20"/>
  <c r="AD205" i="20"/>
  <c r="AC205" i="20"/>
  <c r="AB205" i="20"/>
  <c r="AA205" i="20"/>
  <c r="Z205" i="20"/>
  <c r="Y205" i="20"/>
  <c r="X205" i="20"/>
  <c r="W205" i="20"/>
  <c r="V205" i="20"/>
  <c r="U205" i="20"/>
  <c r="T205" i="20"/>
  <c r="S205" i="20"/>
  <c r="R205" i="20"/>
  <c r="Q205" i="20"/>
  <c r="P205" i="20"/>
  <c r="O205" i="20"/>
  <c r="N205" i="20"/>
  <c r="M205" i="20"/>
  <c r="L205" i="20"/>
  <c r="K205" i="20"/>
  <c r="J205" i="20"/>
  <c r="I205" i="20"/>
  <c r="H205" i="20"/>
  <c r="G205" i="20"/>
  <c r="G265" i="20"/>
  <c r="G264" i="20"/>
  <c r="G263" i="20"/>
  <c r="CI262" i="20"/>
  <c r="CH262" i="20"/>
  <c r="CG262" i="20"/>
  <c r="CF262" i="20"/>
  <c r="CE262" i="20"/>
  <c r="CD262" i="20"/>
  <c r="CC262" i="20"/>
  <c r="CB262" i="20"/>
  <c r="CA262" i="20"/>
  <c r="BZ262" i="20"/>
  <c r="BY262" i="20"/>
  <c r="BX262" i="20"/>
  <c r="BW262" i="20"/>
  <c r="BV262" i="20"/>
  <c r="BU262" i="20"/>
  <c r="BT262" i="20"/>
  <c r="BS262" i="20"/>
  <c r="BR262" i="20"/>
  <c r="BQ262" i="20"/>
  <c r="BP262" i="20"/>
  <c r="BO262" i="20"/>
  <c r="BN262" i="20"/>
  <c r="BM262" i="20"/>
  <c r="BL262" i="20"/>
  <c r="BK262" i="20"/>
  <c r="BJ262" i="20"/>
  <c r="BI262" i="20"/>
  <c r="BH262" i="20"/>
  <c r="BG262" i="20"/>
  <c r="BF262" i="20"/>
  <c r="BE262" i="20"/>
  <c r="BD262" i="20"/>
  <c r="BC262" i="20"/>
  <c r="BB262" i="20"/>
  <c r="BA262" i="20"/>
  <c r="AZ262" i="20"/>
  <c r="AY262" i="20"/>
  <c r="AX262" i="20"/>
  <c r="AW262" i="20"/>
  <c r="AV262" i="20"/>
  <c r="AU262" i="20"/>
  <c r="AT262" i="20"/>
  <c r="AS262" i="20"/>
  <c r="AR262" i="20"/>
  <c r="AQ262" i="20"/>
  <c r="AP262" i="20"/>
  <c r="AO262" i="20"/>
  <c r="AN262" i="20"/>
  <c r="AM262" i="20"/>
  <c r="AL262" i="20"/>
  <c r="AK262" i="20"/>
  <c r="AJ262" i="20"/>
  <c r="AI262" i="20"/>
  <c r="AH262" i="20"/>
  <c r="AG262" i="20"/>
  <c r="AF262" i="20"/>
  <c r="AE262" i="20"/>
  <c r="AD262" i="20"/>
  <c r="AC262" i="20"/>
  <c r="AB262" i="20"/>
  <c r="AA262" i="20"/>
  <c r="Z262" i="20"/>
  <c r="Y262" i="20"/>
  <c r="X262" i="20"/>
  <c r="W262" i="20"/>
  <c r="V262" i="20"/>
  <c r="U262" i="20"/>
  <c r="T262" i="20"/>
  <c r="S262" i="20"/>
  <c r="R262" i="20"/>
  <c r="Q262" i="20"/>
  <c r="P262" i="20"/>
  <c r="O262" i="20"/>
  <c r="N262" i="20"/>
  <c r="M262" i="20"/>
  <c r="L262" i="20"/>
  <c r="K262" i="20"/>
  <c r="J262" i="20"/>
  <c r="I262" i="20"/>
  <c r="H262" i="20"/>
  <c r="G262" i="20"/>
  <c r="G257" i="20"/>
  <c r="CI242" i="20"/>
  <c r="CI389" i="20" s="1"/>
  <c r="CH242" i="20"/>
  <c r="CG242" i="20"/>
  <c r="CG389" i="20" s="1"/>
  <c r="CF242" i="20"/>
  <c r="CF389" i="20" s="1"/>
  <c r="CE242" i="20"/>
  <c r="CE389" i="20" s="1"/>
  <c r="CD242" i="20"/>
  <c r="CC242" i="20"/>
  <c r="CB242" i="20"/>
  <c r="CB389" i="20" s="1"/>
  <c r="CA242" i="20"/>
  <c r="CA389" i="20" s="1"/>
  <c r="BZ242" i="20"/>
  <c r="BY242" i="20"/>
  <c r="BY389" i="20" s="1"/>
  <c r="BX242" i="20"/>
  <c r="BX389" i="20" s="1"/>
  <c r="BW242" i="20"/>
  <c r="BW389" i="20" s="1"/>
  <c r="BV242" i="20"/>
  <c r="BU242" i="20"/>
  <c r="BT242" i="20"/>
  <c r="BT389" i="20" s="1"/>
  <c r="BS242" i="20"/>
  <c r="BS389" i="20" s="1"/>
  <c r="BR242" i="20"/>
  <c r="BQ242" i="20"/>
  <c r="BQ389" i="20" s="1"/>
  <c r="BP242" i="20"/>
  <c r="BP389" i="20" s="1"/>
  <c r="BO242" i="20"/>
  <c r="BO389" i="20" s="1"/>
  <c r="BN242" i="20"/>
  <c r="BM242" i="20"/>
  <c r="BL242" i="20"/>
  <c r="BL389" i="20" s="1"/>
  <c r="BK242" i="20"/>
  <c r="BK389" i="20" s="1"/>
  <c r="BJ242" i="20"/>
  <c r="BI242" i="20"/>
  <c r="BI389" i="20" s="1"/>
  <c r="BH242" i="20"/>
  <c r="BH389" i="20" s="1"/>
  <c r="BG242" i="20"/>
  <c r="BG389" i="20" s="1"/>
  <c r="BF242" i="20"/>
  <c r="BE242" i="20"/>
  <c r="BD242" i="20"/>
  <c r="BD389" i="20" s="1"/>
  <c r="BC242" i="20"/>
  <c r="BC389" i="20" s="1"/>
  <c r="BB242" i="20"/>
  <c r="BA242" i="20"/>
  <c r="BA389" i="20" s="1"/>
  <c r="AZ242" i="20"/>
  <c r="AZ389" i="20" s="1"/>
  <c r="AY242" i="20"/>
  <c r="AY389" i="20" s="1"/>
  <c r="AX242" i="20"/>
  <c r="AW242" i="20"/>
  <c r="AV242" i="20"/>
  <c r="AV389" i="20" s="1"/>
  <c r="AU242" i="20"/>
  <c r="AU389" i="20" s="1"/>
  <c r="AT242" i="20"/>
  <c r="AS242" i="20"/>
  <c r="AS389" i="20" s="1"/>
  <c r="AR242" i="20"/>
  <c r="AR389" i="20" s="1"/>
  <c r="AQ242" i="20"/>
  <c r="AQ389" i="20" s="1"/>
  <c r="AP242" i="20"/>
  <c r="AO242" i="20"/>
  <c r="AN242" i="20"/>
  <c r="AN389" i="20" s="1"/>
  <c r="AM242" i="20"/>
  <c r="AM389" i="20" s="1"/>
  <c r="AL242" i="20"/>
  <c r="AK242" i="20"/>
  <c r="AK389" i="20" s="1"/>
  <c r="AJ242" i="20"/>
  <c r="AJ389" i="20" s="1"/>
  <c r="AI242" i="20"/>
  <c r="AI389" i="20" s="1"/>
  <c r="AH242" i="20"/>
  <c r="AG242" i="20"/>
  <c r="AF242" i="20"/>
  <c r="AF389" i="20" s="1"/>
  <c r="AE242" i="20"/>
  <c r="AE389" i="20" s="1"/>
  <c r="AD242" i="20"/>
  <c r="AC242" i="20"/>
  <c r="AC389" i="20" s="1"/>
  <c r="AB242" i="20"/>
  <c r="AB389" i="20" s="1"/>
  <c r="AA242" i="20"/>
  <c r="AA389" i="20" s="1"/>
  <c r="Z242" i="20"/>
  <c r="Y242" i="20"/>
  <c r="X242" i="20"/>
  <c r="X389" i="20" s="1"/>
  <c r="W242" i="20"/>
  <c r="W389" i="20" s="1"/>
  <c r="V242" i="20"/>
  <c r="U242" i="20"/>
  <c r="U389" i="20" s="1"/>
  <c r="T242" i="20"/>
  <c r="T389" i="20" s="1"/>
  <c r="S242" i="20"/>
  <c r="S389" i="20" s="1"/>
  <c r="R242" i="20"/>
  <c r="Q242" i="20"/>
  <c r="P242" i="20"/>
  <c r="P389" i="20" s="1"/>
  <c r="O242" i="20"/>
  <c r="O389" i="20" s="1"/>
  <c r="N242" i="20"/>
  <c r="M242" i="20"/>
  <c r="M389" i="20" s="1"/>
  <c r="L242" i="20"/>
  <c r="L389" i="20" s="1"/>
  <c r="K242" i="20"/>
  <c r="K389" i="20" s="1"/>
  <c r="J242" i="20"/>
  <c r="I242" i="20"/>
  <c r="H242" i="20"/>
  <c r="H389" i="20" s="1"/>
  <c r="G242" i="20"/>
  <c r="CI233" i="20"/>
  <c r="CH233" i="20"/>
  <c r="CG233" i="20"/>
  <c r="CF233" i="20"/>
  <c r="CE233" i="20"/>
  <c r="CD233" i="20"/>
  <c r="CC233" i="20"/>
  <c r="CB233" i="20"/>
  <c r="CA233" i="20"/>
  <c r="BZ233" i="20"/>
  <c r="BY233" i="20"/>
  <c r="BX233" i="20"/>
  <c r="BW233" i="20"/>
  <c r="BV233" i="20"/>
  <c r="BU233" i="20"/>
  <c r="BT233" i="20"/>
  <c r="BS233" i="20"/>
  <c r="BR233" i="20"/>
  <c r="BQ233" i="20"/>
  <c r="BP233" i="20"/>
  <c r="BO233" i="20"/>
  <c r="BN233" i="20"/>
  <c r="BM233" i="20"/>
  <c r="BL233" i="20"/>
  <c r="BK233" i="20"/>
  <c r="BJ233" i="20"/>
  <c r="BI233" i="20"/>
  <c r="BH233" i="20"/>
  <c r="BG233" i="20"/>
  <c r="BF233" i="20"/>
  <c r="BE233" i="20"/>
  <c r="BD233" i="20"/>
  <c r="BC233" i="20"/>
  <c r="BB233" i="20"/>
  <c r="BA233" i="20"/>
  <c r="AZ233" i="20"/>
  <c r="AY233" i="20"/>
  <c r="AX233" i="20"/>
  <c r="AW233" i="20"/>
  <c r="AV233" i="20"/>
  <c r="AU233" i="20"/>
  <c r="AT233" i="20"/>
  <c r="AS233" i="20"/>
  <c r="AR233" i="20"/>
  <c r="AQ233" i="20"/>
  <c r="AP233" i="20"/>
  <c r="AO233" i="20"/>
  <c r="AN233" i="20"/>
  <c r="AM233" i="20"/>
  <c r="AL233" i="20"/>
  <c r="AK233" i="20"/>
  <c r="AJ233" i="20"/>
  <c r="AI233" i="20"/>
  <c r="AH233" i="20"/>
  <c r="AG233" i="20"/>
  <c r="AF233" i="20"/>
  <c r="AE233" i="20"/>
  <c r="AD233" i="20"/>
  <c r="AC233" i="20"/>
  <c r="AB233" i="20"/>
  <c r="AA233" i="20"/>
  <c r="Z233" i="20"/>
  <c r="Y233" i="20"/>
  <c r="X233" i="20"/>
  <c r="W233" i="20"/>
  <c r="V233" i="20"/>
  <c r="U233" i="20"/>
  <c r="T233" i="20"/>
  <c r="S233" i="20"/>
  <c r="R233" i="20"/>
  <c r="Q233" i="20"/>
  <c r="P233" i="20"/>
  <c r="O233" i="20"/>
  <c r="N233" i="20"/>
  <c r="M233" i="20"/>
  <c r="L233" i="20"/>
  <c r="K233" i="20"/>
  <c r="J233" i="20"/>
  <c r="I233" i="20"/>
  <c r="H233" i="20"/>
  <c r="G233" i="20"/>
  <c r="CI232" i="20"/>
  <c r="CH232" i="20"/>
  <c r="CG232" i="20"/>
  <c r="CF232" i="20"/>
  <c r="CE232" i="20"/>
  <c r="CD232" i="20"/>
  <c r="CC232" i="20"/>
  <c r="CB232" i="20"/>
  <c r="CA232" i="20"/>
  <c r="BZ232" i="20"/>
  <c r="BY232" i="20"/>
  <c r="BX232" i="20"/>
  <c r="BW232" i="20"/>
  <c r="BV232" i="20"/>
  <c r="BU232" i="20"/>
  <c r="BT232" i="20"/>
  <c r="BS232" i="20"/>
  <c r="BR232" i="20"/>
  <c r="BQ232" i="20"/>
  <c r="BP232" i="20"/>
  <c r="BO232" i="20"/>
  <c r="BN232" i="20"/>
  <c r="BM232" i="20"/>
  <c r="BL232" i="20"/>
  <c r="BK232" i="20"/>
  <c r="BJ232" i="20"/>
  <c r="BI232" i="20"/>
  <c r="BH232" i="20"/>
  <c r="BG232" i="20"/>
  <c r="BF232" i="20"/>
  <c r="BE232" i="20"/>
  <c r="BD232" i="20"/>
  <c r="BC232" i="20"/>
  <c r="BB232" i="20"/>
  <c r="BA232" i="20"/>
  <c r="AZ232" i="20"/>
  <c r="AY232" i="20"/>
  <c r="AX232" i="20"/>
  <c r="AW232" i="20"/>
  <c r="AV232" i="20"/>
  <c r="AU232" i="20"/>
  <c r="AT232" i="20"/>
  <c r="AS232" i="20"/>
  <c r="AR232" i="20"/>
  <c r="AQ232" i="20"/>
  <c r="AP232" i="20"/>
  <c r="AO232" i="20"/>
  <c r="AN232" i="20"/>
  <c r="AM232" i="20"/>
  <c r="AL232" i="20"/>
  <c r="AK232" i="20"/>
  <c r="AJ232" i="20"/>
  <c r="AI232" i="20"/>
  <c r="AH232" i="20"/>
  <c r="AG232" i="20"/>
  <c r="AF232" i="20"/>
  <c r="AE232" i="20"/>
  <c r="AD232" i="20"/>
  <c r="AC232" i="20"/>
  <c r="AB232" i="20"/>
  <c r="AA232" i="20"/>
  <c r="Z232" i="20"/>
  <c r="Y232" i="20"/>
  <c r="X232" i="20"/>
  <c r="W232" i="20"/>
  <c r="V232" i="20"/>
  <c r="U232" i="20"/>
  <c r="T232" i="20"/>
  <c r="S232" i="20"/>
  <c r="R232" i="20"/>
  <c r="Q232" i="20"/>
  <c r="P232" i="20"/>
  <c r="O232" i="20"/>
  <c r="N232" i="20"/>
  <c r="M232" i="20"/>
  <c r="L232" i="20"/>
  <c r="K232" i="20"/>
  <c r="J232" i="20"/>
  <c r="I232" i="20"/>
  <c r="H232" i="20"/>
  <c r="G232" i="20"/>
  <c r="CI231" i="20"/>
  <c r="CH231" i="20"/>
  <c r="CG231" i="20"/>
  <c r="CF231" i="20"/>
  <c r="CE231" i="20"/>
  <c r="CD231" i="20"/>
  <c r="CC231" i="20"/>
  <c r="CB231" i="20"/>
  <c r="CA231" i="20"/>
  <c r="BZ231" i="20"/>
  <c r="BY231" i="20"/>
  <c r="BX231" i="20"/>
  <c r="BW231" i="20"/>
  <c r="BV231" i="20"/>
  <c r="BU231" i="20"/>
  <c r="BT231" i="20"/>
  <c r="BS231" i="20"/>
  <c r="BR231" i="20"/>
  <c r="BQ231" i="20"/>
  <c r="BP231" i="20"/>
  <c r="BO231" i="20"/>
  <c r="BN231" i="20"/>
  <c r="BM231" i="20"/>
  <c r="BL231" i="20"/>
  <c r="BK231" i="20"/>
  <c r="BJ231" i="20"/>
  <c r="BI231" i="20"/>
  <c r="BH231" i="20"/>
  <c r="BG231" i="20"/>
  <c r="BF231" i="20"/>
  <c r="BE231" i="20"/>
  <c r="BD231" i="20"/>
  <c r="BC231" i="20"/>
  <c r="BB231" i="20"/>
  <c r="BA231" i="20"/>
  <c r="AZ231" i="20"/>
  <c r="AY231" i="20"/>
  <c r="AX231" i="20"/>
  <c r="AW231" i="20"/>
  <c r="AV231" i="20"/>
  <c r="AU231" i="20"/>
  <c r="AT231" i="20"/>
  <c r="AS231" i="20"/>
  <c r="AR231" i="20"/>
  <c r="AQ231" i="20"/>
  <c r="AP231" i="20"/>
  <c r="AO231" i="20"/>
  <c r="AN231" i="20"/>
  <c r="AM231" i="20"/>
  <c r="AL231" i="20"/>
  <c r="AK231" i="20"/>
  <c r="AJ231" i="20"/>
  <c r="AI231" i="20"/>
  <c r="AH231" i="20"/>
  <c r="AG231" i="20"/>
  <c r="AF231" i="20"/>
  <c r="AE231" i="20"/>
  <c r="AD231" i="20"/>
  <c r="AC231" i="20"/>
  <c r="AB231" i="20"/>
  <c r="AA231" i="20"/>
  <c r="Z231" i="20"/>
  <c r="Y231" i="20"/>
  <c r="X231" i="20"/>
  <c r="W231" i="20"/>
  <c r="V231" i="20"/>
  <c r="U231" i="20"/>
  <c r="T231" i="20"/>
  <c r="S231" i="20"/>
  <c r="R231" i="20"/>
  <c r="Q231" i="20"/>
  <c r="P231" i="20"/>
  <c r="O231" i="20"/>
  <c r="N231" i="20"/>
  <c r="M231" i="20"/>
  <c r="L231" i="20"/>
  <c r="K231" i="20"/>
  <c r="J231" i="20"/>
  <c r="I231" i="20"/>
  <c r="H231" i="20"/>
  <c r="G231" i="20"/>
  <c r="CI230" i="20"/>
  <c r="CH230" i="20"/>
  <c r="CG230" i="20"/>
  <c r="CF230" i="20"/>
  <c r="CE230" i="20"/>
  <c r="CD230" i="20"/>
  <c r="CC230" i="20"/>
  <c r="CB230" i="20"/>
  <c r="CA230" i="20"/>
  <c r="BZ230" i="20"/>
  <c r="BY230" i="20"/>
  <c r="BX230" i="20"/>
  <c r="BW230" i="20"/>
  <c r="BV230" i="20"/>
  <c r="BU230" i="20"/>
  <c r="BT230" i="20"/>
  <c r="BS230" i="20"/>
  <c r="BR230" i="20"/>
  <c r="BQ230" i="20"/>
  <c r="BP230" i="20"/>
  <c r="BO230" i="20"/>
  <c r="BN230" i="20"/>
  <c r="BM230" i="20"/>
  <c r="BL230" i="20"/>
  <c r="BK230" i="20"/>
  <c r="BJ230" i="20"/>
  <c r="BI230" i="20"/>
  <c r="BH230" i="20"/>
  <c r="BG230" i="20"/>
  <c r="BF230" i="20"/>
  <c r="BE230" i="20"/>
  <c r="BD230" i="20"/>
  <c r="BC230" i="20"/>
  <c r="BB230" i="20"/>
  <c r="BA230" i="20"/>
  <c r="AZ230" i="20"/>
  <c r="AY230" i="20"/>
  <c r="AX230" i="20"/>
  <c r="AW230" i="20"/>
  <c r="AV230" i="20"/>
  <c r="AU230" i="20"/>
  <c r="AT230" i="20"/>
  <c r="AS230" i="20"/>
  <c r="AR230" i="20"/>
  <c r="AQ230" i="20"/>
  <c r="AP230" i="20"/>
  <c r="AO230" i="20"/>
  <c r="AN230" i="20"/>
  <c r="AM230" i="20"/>
  <c r="AL230" i="20"/>
  <c r="AK230" i="20"/>
  <c r="AJ230" i="20"/>
  <c r="AI230" i="20"/>
  <c r="AH230" i="20"/>
  <c r="AG230" i="20"/>
  <c r="AF230" i="20"/>
  <c r="AE230" i="20"/>
  <c r="AD230" i="20"/>
  <c r="AC230" i="20"/>
  <c r="AB230" i="20"/>
  <c r="AA230" i="20"/>
  <c r="Z230" i="20"/>
  <c r="Y230" i="20"/>
  <c r="X230" i="20"/>
  <c r="W230" i="20"/>
  <c r="V230" i="20"/>
  <c r="U230" i="20"/>
  <c r="T230" i="20"/>
  <c r="S230" i="20"/>
  <c r="R230" i="20"/>
  <c r="Q230" i="20"/>
  <c r="P230" i="20"/>
  <c r="O230" i="20"/>
  <c r="N230" i="20"/>
  <c r="M230" i="20"/>
  <c r="L230" i="20"/>
  <c r="K230" i="20"/>
  <c r="J230" i="20"/>
  <c r="I230" i="20"/>
  <c r="H230" i="20"/>
  <c r="CI213" i="20"/>
  <c r="CH213" i="20"/>
  <c r="CH222" i="20" s="1"/>
  <c r="CH223" i="20" s="1"/>
  <c r="CG213" i="20"/>
  <c r="CG222" i="20" s="1"/>
  <c r="CG223" i="20" s="1"/>
  <c r="CF213" i="20"/>
  <c r="CF222" i="20" s="1"/>
  <c r="CF223" i="20" s="1"/>
  <c r="CE213" i="20"/>
  <c r="CD213" i="20"/>
  <c r="CD222" i="20" s="1"/>
  <c r="CD223" i="20" s="1"/>
  <c r="CC213" i="20"/>
  <c r="CC222" i="20" s="1"/>
  <c r="CC223" i="20" s="1"/>
  <c r="CB213" i="20"/>
  <c r="CA213" i="20"/>
  <c r="BZ213" i="20"/>
  <c r="BY213" i="20"/>
  <c r="BY222" i="20" s="1"/>
  <c r="BY223" i="20" s="1"/>
  <c r="BX213" i="20"/>
  <c r="BX222" i="20" s="1"/>
  <c r="BX223" i="20" s="1"/>
  <c r="BW213" i="20"/>
  <c r="BV213" i="20"/>
  <c r="BV222" i="20" s="1"/>
  <c r="BV223" i="20" s="1"/>
  <c r="BU213" i="20"/>
  <c r="BU222" i="20" s="1"/>
  <c r="BU223" i="20" s="1"/>
  <c r="BT213" i="20"/>
  <c r="BS213" i="20"/>
  <c r="BR213" i="20"/>
  <c r="BQ213" i="20"/>
  <c r="BQ222" i="20" s="1"/>
  <c r="BQ223" i="20" s="1"/>
  <c r="BP213" i="20"/>
  <c r="BP222" i="20" s="1"/>
  <c r="BP223" i="20" s="1"/>
  <c r="BO213" i="20"/>
  <c r="BN213" i="20"/>
  <c r="BN222" i="20" s="1"/>
  <c r="BN223" i="20" s="1"/>
  <c r="BM213" i="20"/>
  <c r="BM222" i="20" s="1"/>
  <c r="BM223" i="20" s="1"/>
  <c r="BL213" i="20"/>
  <c r="BK213" i="20"/>
  <c r="BJ213" i="20"/>
  <c r="BI213" i="20"/>
  <c r="BI222" i="20" s="1"/>
  <c r="BI223" i="20" s="1"/>
  <c r="BH213" i="20"/>
  <c r="BG213" i="20"/>
  <c r="BF213" i="20"/>
  <c r="BF222" i="20" s="1"/>
  <c r="BF223" i="20" s="1"/>
  <c r="BE213" i="20"/>
  <c r="BE222" i="20" s="1"/>
  <c r="BE223" i="20" s="1"/>
  <c r="BD213" i="20"/>
  <c r="BC213" i="20"/>
  <c r="BB213" i="20"/>
  <c r="BA213" i="20"/>
  <c r="BA222" i="20" s="1"/>
  <c r="BA223" i="20" s="1"/>
  <c r="AZ213" i="20"/>
  <c r="AZ222" i="20" s="1"/>
  <c r="AZ223" i="20" s="1"/>
  <c r="AY213" i="20"/>
  <c r="AX213" i="20"/>
  <c r="AX222" i="20" s="1"/>
  <c r="AX223" i="20" s="1"/>
  <c r="AW213" i="20"/>
  <c r="AW222" i="20" s="1"/>
  <c r="AW223" i="20" s="1"/>
  <c r="AV213" i="20"/>
  <c r="AU213" i="20"/>
  <c r="AT213" i="20"/>
  <c r="AS213" i="20"/>
  <c r="AS222" i="20" s="1"/>
  <c r="AS223" i="20" s="1"/>
  <c r="AR213" i="20"/>
  <c r="AR222" i="20" s="1"/>
  <c r="AR223" i="20" s="1"/>
  <c r="AQ213" i="20"/>
  <c r="AP213" i="20"/>
  <c r="AP222" i="20" s="1"/>
  <c r="AP223" i="20" s="1"/>
  <c r="AO213" i="20"/>
  <c r="AO222" i="20" s="1"/>
  <c r="AO223" i="20" s="1"/>
  <c r="AN213" i="20"/>
  <c r="AM213" i="20"/>
  <c r="AM212" i="20" s="1"/>
  <c r="AM309" i="20" s="1"/>
  <c r="AL213" i="20"/>
  <c r="AK213" i="20"/>
  <c r="AK222" i="20" s="1"/>
  <c r="AK223" i="20" s="1"/>
  <c r="AJ213" i="20"/>
  <c r="AJ222" i="20" s="1"/>
  <c r="AJ223" i="20" s="1"/>
  <c r="AI213" i="20"/>
  <c r="AH213" i="20"/>
  <c r="AH222" i="20" s="1"/>
  <c r="AH223" i="20" s="1"/>
  <c r="AG213" i="20"/>
  <c r="AG222" i="20" s="1"/>
  <c r="AG223" i="20" s="1"/>
  <c r="AF213" i="20"/>
  <c r="AE213" i="20"/>
  <c r="AD213" i="20"/>
  <c r="AC213" i="20"/>
  <c r="AC222" i="20" s="1"/>
  <c r="AC223" i="20" s="1"/>
  <c r="AB213" i="20"/>
  <c r="AA213" i="20"/>
  <c r="Z213" i="20"/>
  <c r="Z222" i="20" s="1"/>
  <c r="Z223" i="20" s="1"/>
  <c r="Y213" i="20"/>
  <c r="Y222" i="20" s="1"/>
  <c r="Y223" i="20" s="1"/>
  <c r="X213" i="20"/>
  <c r="W213" i="20"/>
  <c r="V213" i="20"/>
  <c r="U213" i="20"/>
  <c r="U222" i="20" s="1"/>
  <c r="U223" i="20" s="1"/>
  <c r="T213" i="20"/>
  <c r="T222" i="20" s="1"/>
  <c r="T223" i="20" s="1"/>
  <c r="S213" i="20"/>
  <c r="R213" i="20"/>
  <c r="R222" i="20" s="1"/>
  <c r="R223" i="20" s="1"/>
  <c r="Q213" i="20"/>
  <c r="Q222" i="20" s="1"/>
  <c r="Q223" i="20" s="1"/>
  <c r="P213" i="20"/>
  <c r="O213" i="20"/>
  <c r="N213" i="20"/>
  <c r="M213" i="20"/>
  <c r="M222" i="20" s="1"/>
  <c r="M223" i="20" s="1"/>
  <c r="L213" i="20"/>
  <c r="L222" i="20" s="1"/>
  <c r="L223" i="20" s="1"/>
  <c r="K213" i="20"/>
  <c r="K212" i="20" s="1"/>
  <c r="K309" i="20" s="1"/>
  <c r="J213" i="20"/>
  <c r="J222" i="20" s="1"/>
  <c r="J223" i="20" s="1"/>
  <c r="I213" i="20"/>
  <c r="I222" i="20" s="1"/>
  <c r="I223" i="20" s="1"/>
  <c r="I270" i="20" s="1"/>
  <c r="I272" i="20" s="1"/>
  <c r="H213" i="20"/>
  <c r="G213" i="20"/>
  <c r="CH212" i="20"/>
  <c r="CG212" i="20"/>
  <c r="CF212" i="20"/>
  <c r="C185" i="20"/>
  <c r="CI171" i="20"/>
  <c r="CH171" i="20"/>
  <c r="CG171" i="20"/>
  <c r="CF171" i="20"/>
  <c r="CE171" i="20"/>
  <c r="CD171" i="20"/>
  <c r="CC171" i="20"/>
  <c r="CB171" i="20"/>
  <c r="CA171" i="20"/>
  <c r="BZ171" i="20"/>
  <c r="BY171" i="20"/>
  <c r="BX171" i="20"/>
  <c r="BW171" i="20"/>
  <c r="BV171" i="20"/>
  <c r="BU171" i="20"/>
  <c r="BT171" i="20"/>
  <c r="BS171" i="20"/>
  <c r="BR171" i="20"/>
  <c r="BQ171" i="20"/>
  <c r="BP171" i="20"/>
  <c r="BO171" i="20"/>
  <c r="BN171" i="20"/>
  <c r="BM171" i="20"/>
  <c r="BL171" i="20"/>
  <c r="BK171" i="20"/>
  <c r="BJ171" i="20"/>
  <c r="BI171" i="20"/>
  <c r="BH171" i="20"/>
  <c r="BG171" i="20"/>
  <c r="BF171" i="20"/>
  <c r="BE171" i="20"/>
  <c r="BD171" i="20"/>
  <c r="BC171" i="20"/>
  <c r="BB171" i="20"/>
  <c r="BA171" i="20"/>
  <c r="AZ171" i="20"/>
  <c r="AY171" i="20"/>
  <c r="AX171" i="20"/>
  <c r="AW171" i="20"/>
  <c r="AV171" i="20"/>
  <c r="AU171" i="20"/>
  <c r="AT171" i="20"/>
  <c r="AS171" i="20"/>
  <c r="AR171" i="20"/>
  <c r="AQ171" i="20"/>
  <c r="AP171" i="20"/>
  <c r="AO171" i="20"/>
  <c r="AN171" i="20"/>
  <c r="AM171" i="20"/>
  <c r="AL171" i="20"/>
  <c r="AK171" i="20"/>
  <c r="AJ171" i="20"/>
  <c r="AI171" i="20"/>
  <c r="AH171" i="20"/>
  <c r="AG171" i="20"/>
  <c r="AF171" i="20"/>
  <c r="AE171" i="20"/>
  <c r="AD171" i="20"/>
  <c r="AC171" i="20"/>
  <c r="AB171" i="20"/>
  <c r="AA171" i="20"/>
  <c r="Z171" i="20"/>
  <c r="Y171" i="20"/>
  <c r="X171" i="20"/>
  <c r="W171" i="20"/>
  <c r="V171" i="20"/>
  <c r="U171" i="20"/>
  <c r="T171" i="20"/>
  <c r="S171" i="20"/>
  <c r="R171" i="20"/>
  <c r="Q171" i="20"/>
  <c r="P171" i="20"/>
  <c r="O171" i="20"/>
  <c r="N171" i="20"/>
  <c r="M171" i="20"/>
  <c r="L171" i="20"/>
  <c r="K171" i="20"/>
  <c r="J171" i="20"/>
  <c r="I171" i="20"/>
  <c r="H171" i="20"/>
  <c r="CI150" i="20"/>
  <c r="CH150" i="20"/>
  <c r="CG150" i="20"/>
  <c r="CF150" i="20"/>
  <c r="CE150" i="20"/>
  <c r="CD150" i="20"/>
  <c r="CC150" i="20"/>
  <c r="CB150" i="20"/>
  <c r="CA150" i="20"/>
  <c r="BZ150" i="20"/>
  <c r="BY150" i="20"/>
  <c r="BX150" i="20"/>
  <c r="BW150" i="20"/>
  <c r="BV150" i="20"/>
  <c r="BU150" i="20"/>
  <c r="BT150" i="20"/>
  <c r="BS150" i="20"/>
  <c r="BR150" i="20"/>
  <c r="BQ150" i="20"/>
  <c r="BP150" i="20"/>
  <c r="BO150" i="20"/>
  <c r="BN150" i="20"/>
  <c r="BM150" i="20"/>
  <c r="BL150" i="20"/>
  <c r="BK150" i="20"/>
  <c r="BJ150" i="20"/>
  <c r="BI150" i="20"/>
  <c r="BH150" i="20"/>
  <c r="BG150" i="20"/>
  <c r="BF150"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V150" i="20"/>
  <c r="U150" i="20"/>
  <c r="T150" i="20"/>
  <c r="S150" i="20"/>
  <c r="R150" i="20"/>
  <c r="Q150" i="20"/>
  <c r="P150" i="20"/>
  <c r="O150" i="20"/>
  <c r="N150" i="20"/>
  <c r="L150" i="20"/>
  <c r="K150" i="20"/>
  <c r="J150" i="20"/>
  <c r="I150" i="20"/>
  <c r="H150" i="20"/>
  <c r="CI149" i="20"/>
  <c r="CH149" i="20"/>
  <c r="CG149" i="20"/>
  <c r="CF149" i="20"/>
  <c r="CE149" i="20"/>
  <c r="CD149" i="20"/>
  <c r="CC149" i="20"/>
  <c r="CB149" i="20"/>
  <c r="CA149" i="20"/>
  <c r="BZ149" i="20"/>
  <c r="BY149" i="20"/>
  <c r="BX149" i="20"/>
  <c r="BW149" i="20"/>
  <c r="BV149" i="20"/>
  <c r="BU149" i="20"/>
  <c r="BT149" i="20"/>
  <c r="BS149" i="20"/>
  <c r="BR149" i="20"/>
  <c r="BQ149" i="20"/>
  <c r="BP149" i="20"/>
  <c r="BO149" i="20"/>
  <c r="BN149" i="20"/>
  <c r="BM149" i="20"/>
  <c r="BL149" i="20"/>
  <c r="BK149" i="20"/>
  <c r="BJ149" i="20"/>
  <c r="BI149" i="20"/>
  <c r="BH149" i="20"/>
  <c r="BG149" i="20"/>
  <c r="BF149" i="20"/>
  <c r="BE149" i="20"/>
  <c r="BD149" i="20"/>
  <c r="BC149" i="20"/>
  <c r="BB149" i="20"/>
  <c r="BA149" i="20"/>
  <c r="AZ149" i="20"/>
  <c r="AY149" i="20"/>
  <c r="AX149" i="20"/>
  <c r="AW149" i="20"/>
  <c r="AV149" i="20"/>
  <c r="AU149" i="20"/>
  <c r="AT149" i="20"/>
  <c r="AS149" i="20"/>
  <c r="AR149" i="20"/>
  <c r="AQ149" i="20"/>
  <c r="AP149" i="20"/>
  <c r="AO149" i="20"/>
  <c r="AN149" i="20"/>
  <c r="AM149" i="20"/>
  <c r="AL149" i="20"/>
  <c r="AK149" i="20"/>
  <c r="AJ149" i="20"/>
  <c r="AI149" i="20"/>
  <c r="AH149" i="20"/>
  <c r="AG149" i="20"/>
  <c r="AF149" i="20"/>
  <c r="AE149" i="20"/>
  <c r="AD149" i="20"/>
  <c r="AC149" i="20"/>
  <c r="AB149" i="20"/>
  <c r="AA149" i="20"/>
  <c r="Z149" i="20"/>
  <c r="Y149" i="20"/>
  <c r="X149" i="20"/>
  <c r="W149" i="20"/>
  <c r="V149" i="20"/>
  <c r="U149" i="20"/>
  <c r="T149" i="20"/>
  <c r="S149" i="20"/>
  <c r="R149" i="20"/>
  <c r="Q149" i="20"/>
  <c r="P149" i="20"/>
  <c r="O149" i="20"/>
  <c r="N149" i="20"/>
  <c r="L149" i="20"/>
  <c r="K149" i="20"/>
  <c r="J149" i="20"/>
  <c r="I149" i="20"/>
  <c r="H149" i="20"/>
  <c r="CI148" i="20"/>
  <c r="CH148" i="20"/>
  <c r="CG148" i="20"/>
  <c r="CF148" i="20"/>
  <c r="CE148" i="20"/>
  <c r="CD148" i="20"/>
  <c r="CC148" i="20"/>
  <c r="CB148" i="20"/>
  <c r="CA148" i="20"/>
  <c r="BZ148" i="20"/>
  <c r="BY148" i="20"/>
  <c r="BX148" i="20"/>
  <c r="BW148" i="20"/>
  <c r="BV148" i="20"/>
  <c r="BU148" i="20"/>
  <c r="BT148" i="20"/>
  <c r="BS148" i="20"/>
  <c r="BR148" i="20"/>
  <c r="BQ148" i="20"/>
  <c r="BP148" i="20"/>
  <c r="BO148" i="20"/>
  <c r="BN148" i="20"/>
  <c r="BM148" i="20"/>
  <c r="BL148" i="20"/>
  <c r="BK148" i="20"/>
  <c r="BJ148" i="20"/>
  <c r="BI148" i="20"/>
  <c r="BH148" i="20"/>
  <c r="BG148" i="20"/>
  <c r="BF148"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V148" i="20"/>
  <c r="U148" i="20"/>
  <c r="T148" i="20"/>
  <c r="S148" i="20"/>
  <c r="R148" i="20"/>
  <c r="Q148" i="20"/>
  <c r="P148" i="20"/>
  <c r="O148" i="20"/>
  <c r="N148" i="20"/>
  <c r="L148" i="20"/>
  <c r="K148" i="20"/>
  <c r="J148" i="20"/>
  <c r="I148" i="20"/>
  <c r="H148" i="20"/>
  <c r="CI147" i="20"/>
  <c r="CH147" i="20"/>
  <c r="CG147" i="20"/>
  <c r="CF147" i="20"/>
  <c r="CE147" i="20"/>
  <c r="CD147" i="20"/>
  <c r="CC147" i="20"/>
  <c r="CB147" i="20"/>
  <c r="CA147" i="20"/>
  <c r="BZ147" i="20"/>
  <c r="BY147" i="20"/>
  <c r="BX147" i="20"/>
  <c r="BW147" i="20"/>
  <c r="BV147" i="20"/>
  <c r="BU147" i="20"/>
  <c r="BT147" i="20"/>
  <c r="BS147" i="20"/>
  <c r="BR147" i="20"/>
  <c r="BQ147" i="20"/>
  <c r="BP147" i="20"/>
  <c r="BO147" i="20"/>
  <c r="BN147" i="20"/>
  <c r="BM147" i="20"/>
  <c r="BL147" i="20"/>
  <c r="BK147" i="20"/>
  <c r="BJ147" i="20"/>
  <c r="BI147" i="20"/>
  <c r="BH147" i="20"/>
  <c r="BG147" i="20"/>
  <c r="BF147" i="20"/>
  <c r="BE147" i="20"/>
  <c r="BD147" i="20"/>
  <c r="BC147" i="20"/>
  <c r="BB147" i="20"/>
  <c r="BA147" i="20"/>
  <c r="AZ147" i="20"/>
  <c r="AY147" i="20"/>
  <c r="AX147" i="20"/>
  <c r="AW147" i="20"/>
  <c r="AV147" i="20"/>
  <c r="AU147" i="20"/>
  <c r="AT147" i="20"/>
  <c r="AS147" i="20"/>
  <c r="AR147" i="20"/>
  <c r="AQ147" i="20"/>
  <c r="AP147" i="20"/>
  <c r="AO147" i="20"/>
  <c r="AN147" i="20"/>
  <c r="AM147" i="20"/>
  <c r="AL147" i="20"/>
  <c r="AK147" i="20"/>
  <c r="AJ147" i="20"/>
  <c r="AI147" i="20"/>
  <c r="AH147" i="20"/>
  <c r="AG147" i="20"/>
  <c r="AF147" i="20"/>
  <c r="AE147" i="20"/>
  <c r="AD147" i="20"/>
  <c r="AC147" i="20"/>
  <c r="AB147" i="20"/>
  <c r="AA147" i="20"/>
  <c r="Z147" i="20"/>
  <c r="Y147" i="20"/>
  <c r="X147" i="20"/>
  <c r="W147" i="20"/>
  <c r="V147" i="20"/>
  <c r="U147" i="20"/>
  <c r="T147" i="20"/>
  <c r="S147" i="20"/>
  <c r="R147" i="20"/>
  <c r="Q147" i="20"/>
  <c r="P147" i="20"/>
  <c r="O147" i="20"/>
  <c r="L147" i="20"/>
  <c r="K147" i="20"/>
  <c r="J147" i="20"/>
  <c r="I147" i="20"/>
  <c r="H147" i="20"/>
  <c r="CI146" i="20"/>
  <c r="CH146" i="20"/>
  <c r="CG146" i="20"/>
  <c r="CF146" i="20"/>
  <c r="CE146" i="20"/>
  <c r="CD146" i="20"/>
  <c r="CC146" i="20"/>
  <c r="CB146" i="20"/>
  <c r="CA146" i="20"/>
  <c r="BZ146" i="20"/>
  <c r="BY146" i="20"/>
  <c r="BX146" i="20"/>
  <c r="BW146" i="20"/>
  <c r="BV146" i="20"/>
  <c r="BU146" i="20"/>
  <c r="BT146" i="20"/>
  <c r="BS146" i="20"/>
  <c r="BR146" i="20"/>
  <c r="BQ146" i="20"/>
  <c r="BP146" i="20"/>
  <c r="BO146" i="20"/>
  <c r="BN146" i="20"/>
  <c r="BM146" i="20"/>
  <c r="BL146" i="20"/>
  <c r="BK146" i="20"/>
  <c r="BJ146" i="20"/>
  <c r="BI146" i="20"/>
  <c r="BH146" i="20"/>
  <c r="BG146" i="20"/>
  <c r="BF146"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V146" i="20"/>
  <c r="U146" i="20"/>
  <c r="T146" i="20"/>
  <c r="S146" i="20"/>
  <c r="R146" i="20"/>
  <c r="Q146" i="20"/>
  <c r="P146" i="20"/>
  <c r="O146" i="20"/>
  <c r="N146" i="20"/>
  <c r="L146" i="20"/>
  <c r="K146" i="20"/>
  <c r="J146" i="20"/>
  <c r="I146" i="20"/>
  <c r="H146" i="20"/>
  <c r="CI145" i="20"/>
  <c r="CH145" i="20"/>
  <c r="CG145" i="20"/>
  <c r="CF145" i="20"/>
  <c r="CE145" i="20"/>
  <c r="CD145" i="20"/>
  <c r="CC145" i="20"/>
  <c r="CB145" i="20"/>
  <c r="CA145" i="20"/>
  <c r="BZ145" i="20"/>
  <c r="BY145" i="20"/>
  <c r="BX145" i="20"/>
  <c r="BW145" i="20"/>
  <c r="BV145" i="20"/>
  <c r="BU145" i="20"/>
  <c r="BT145" i="20"/>
  <c r="BS145" i="20"/>
  <c r="BR145" i="20"/>
  <c r="BQ145" i="20"/>
  <c r="BP145" i="20"/>
  <c r="BO145" i="20"/>
  <c r="BN145" i="20"/>
  <c r="BM145" i="20"/>
  <c r="BL145" i="20"/>
  <c r="BK145" i="20"/>
  <c r="BJ145" i="20"/>
  <c r="BI145" i="20"/>
  <c r="BH145" i="20"/>
  <c r="BG145" i="20"/>
  <c r="BF145" i="20"/>
  <c r="BE145" i="20"/>
  <c r="BD145" i="20"/>
  <c r="BC145" i="20"/>
  <c r="BB145" i="20"/>
  <c r="BA145" i="20"/>
  <c r="AZ145" i="20"/>
  <c r="AY145" i="20"/>
  <c r="AX145" i="20"/>
  <c r="AW145" i="20"/>
  <c r="AV145" i="20"/>
  <c r="AU145" i="20"/>
  <c r="AT145" i="20"/>
  <c r="AS145" i="20"/>
  <c r="AR145" i="20"/>
  <c r="AQ145" i="20"/>
  <c r="AP145" i="20"/>
  <c r="AO145" i="20"/>
  <c r="AN145" i="20"/>
  <c r="AM145" i="20"/>
  <c r="AL145" i="20"/>
  <c r="AK145" i="20"/>
  <c r="AJ145" i="20"/>
  <c r="AI145" i="20"/>
  <c r="AH145" i="20"/>
  <c r="AG145" i="20"/>
  <c r="AF145" i="20"/>
  <c r="AE145" i="20"/>
  <c r="AD145" i="20"/>
  <c r="AC145" i="20"/>
  <c r="AB145" i="20"/>
  <c r="AA145" i="20"/>
  <c r="Z145" i="20"/>
  <c r="Y145" i="20"/>
  <c r="X145" i="20"/>
  <c r="W145" i="20"/>
  <c r="V145" i="20"/>
  <c r="U145" i="20"/>
  <c r="T145" i="20"/>
  <c r="S145" i="20"/>
  <c r="R145" i="20"/>
  <c r="Q145" i="20"/>
  <c r="P145" i="20"/>
  <c r="O145" i="20"/>
  <c r="N145" i="20"/>
  <c r="L145" i="20"/>
  <c r="K145" i="20"/>
  <c r="J145" i="20"/>
  <c r="I145" i="20"/>
  <c r="H145" i="20"/>
  <c r="CI144" i="20"/>
  <c r="CH144" i="20"/>
  <c r="CG144" i="20"/>
  <c r="CF144" i="20"/>
  <c r="CE144" i="20"/>
  <c r="CD144" i="20"/>
  <c r="CC144" i="20"/>
  <c r="CB144" i="20"/>
  <c r="CA144" i="20"/>
  <c r="BZ144" i="20"/>
  <c r="BY144" i="20"/>
  <c r="BX144" i="20"/>
  <c r="BW144" i="20"/>
  <c r="BV144" i="20"/>
  <c r="BU144" i="20"/>
  <c r="BT144" i="20"/>
  <c r="BS144" i="20"/>
  <c r="BR144" i="20"/>
  <c r="BQ144" i="20"/>
  <c r="BP144" i="20"/>
  <c r="BO144" i="20"/>
  <c r="BN144" i="20"/>
  <c r="BM144" i="20"/>
  <c r="BL144" i="20"/>
  <c r="BK144" i="20"/>
  <c r="BJ144" i="20"/>
  <c r="BI144" i="20"/>
  <c r="BH144" i="20"/>
  <c r="BG144" i="20"/>
  <c r="BF144"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V144" i="20"/>
  <c r="U144" i="20"/>
  <c r="T144" i="20"/>
  <c r="S144" i="20"/>
  <c r="R144" i="20"/>
  <c r="Q144" i="20"/>
  <c r="P144" i="20"/>
  <c r="O144" i="20"/>
  <c r="N144" i="20"/>
  <c r="L144" i="20"/>
  <c r="K144" i="20"/>
  <c r="J144" i="20"/>
  <c r="I144" i="20"/>
  <c r="H144" i="20"/>
  <c r="CI143" i="20"/>
  <c r="CH143" i="20"/>
  <c r="CG143" i="20"/>
  <c r="CF143" i="20"/>
  <c r="CE143" i="20"/>
  <c r="CD143" i="20"/>
  <c r="CC143" i="20"/>
  <c r="CB143" i="20"/>
  <c r="CA143" i="20"/>
  <c r="BZ143" i="20"/>
  <c r="BY143" i="20"/>
  <c r="BX143" i="20"/>
  <c r="BW143" i="20"/>
  <c r="BV143" i="20"/>
  <c r="BU143" i="20"/>
  <c r="BT143" i="20"/>
  <c r="BS143" i="20"/>
  <c r="BR143" i="20"/>
  <c r="BQ143" i="20"/>
  <c r="BP143" i="20"/>
  <c r="BO143" i="20"/>
  <c r="BN143" i="20"/>
  <c r="BM143" i="20"/>
  <c r="BL143" i="20"/>
  <c r="BK143" i="20"/>
  <c r="BJ143" i="20"/>
  <c r="BI143" i="20"/>
  <c r="BH143" i="20"/>
  <c r="BG143" i="20"/>
  <c r="BF143" i="20"/>
  <c r="BE143" i="20"/>
  <c r="BD143" i="20"/>
  <c r="BC143" i="20"/>
  <c r="BB143" i="20"/>
  <c r="BA143" i="20"/>
  <c r="AZ143" i="20"/>
  <c r="AY143" i="20"/>
  <c r="AX143" i="20"/>
  <c r="AW143" i="20"/>
  <c r="AV143" i="20"/>
  <c r="AU143" i="20"/>
  <c r="AT143" i="20"/>
  <c r="AS143" i="20"/>
  <c r="AR143" i="20"/>
  <c r="AQ143" i="20"/>
  <c r="AP143" i="20"/>
  <c r="AO143" i="20"/>
  <c r="AN143" i="20"/>
  <c r="AM143" i="20"/>
  <c r="AL143" i="20"/>
  <c r="AK143" i="20"/>
  <c r="AJ143" i="20"/>
  <c r="AI143" i="20"/>
  <c r="AH143" i="20"/>
  <c r="AG143" i="20"/>
  <c r="AF143" i="20"/>
  <c r="AE143" i="20"/>
  <c r="AD143" i="20"/>
  <c r="AC143" i="20"/>
  <c r="AB143" i="20"/>
  <c r="AA143" i="20"/>
  <c r="Z143" i="20"/>
  <c r="Y143" i="20"/>
  <c r="X143" i="20"/>
  <c r="W143" i="20"/>
  <c r="V143" i="20"/>
  <c r="U143" i="20"/>
  <c r="T143" i="20"/>
  <c r="S143" i="20"/>
  <c r="R143" i="20"/>
  <c r="Q143" i="20"/>
  <c r="P143" i="20"/>
  <c r="O143" i="20"/>
  <c r="N143" i="20"/>
  <c r="L143" i="20"/>
  <c r="K143" i="20"/>
  <c r="J143" i="20"/>
  <c r="I143" i="20"/>
  <c r="H143" i="20"/>
  <c r="CI138" i="20"/>
  <c r="CH138" i="20"/>
  <c r="CG138" i="20"/>
  <c r="CF138" i="20"/>
  <c r="CE138" i="20"/>
  <c r="CD138" i="20"/>
  <c r="CC138" i="20"/>
  <c r="CB138" i="20"/>
  <c r="CA138" i="20"/>
  <c r="BZ138" i="20"/>
  <c r="BY138" i="20"/>
  <c r="BX138" i="20"/>
  <c r="BW138" i="20"/>
  <c r="BV138" i="20"/>
  <c r="BU138" i="20"/>
  <c r="BT138" i="20"/>
  <c r="BS138" i="20"/>
  <c r="BR138" i="20"/>
  <c r="BQ138" i="20"/>
  <c r="BP138" i="20"/>
  <c r="BO138" i="20"/>
  <c r="BN138" i="20"/>
  <c r="BM138" i="20"/>
  <c r="BL138" i="20"/>
  <c r="BK138" i="20"/>
  <c r="BJ138" i="20"/>
  <c r="BI138" i="20"/>
  <c r="BH138" i="20"/>
  <c r="BG138" i="20"/>
  <c r="BF138"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V138" i="20"/>
  <c r="U138" i="20"/>
  <c r="T138" i="20"/>
  <c r="S138" i="20"/>
  <c r="R138" i="20"/>
  <c r="Q138" i="20"/>
  <c r="P138" i="20"/>
  <c r="O138" i="20"/>
  <c r="N138" i="20"/>
  <c r="L138" i="20"/>
  <c r="K138" i="20"/>
  <c r="J138" i="20"/>
  <c r="I138" i="20"/>
  <c r="H138" i="20"/>
  <c r="CI137" i="20"/>
  <c r="CH137" i="20"/>
  <c r="CH141" i="20" s="1"/>
  <c r="CG137" i="20"/>
  <c r="CG141" i="20" s="1"/>
  <c r="CF137" i="20"/>
  <c r="CF141" i="20" s="1"/>
  <c r="CE137" i="20"/>
  <c r="CE141" i="20" s="1"/>
  <c r="CD137" i="20"/>
  <c r="CD141" i="20" s="1"/>
  <c r="CC137" i="20"/>
  <c r="CC141" i="20" s="1"/>
  <c r="CB137" i="20"/>
  <c r="CB141" i="20" s="1"/>
  <c r="CA137" i="20"/>
  <c r="CA141" i="20" s="1"/>
  <c r="BZ137" i="20"/>
  <c r="BZ141" i="20" s="1"/>
  <c r="BY137" i="20"/>
  <c r="BY141" i="20" s="1"/>
  <c r="BX137" i="20"/>
  <c r="BX141" i="20" s="1"/>
  <c r="BW137" i="20"/>
  <c r="BW141" i="20" s="1"/>
  <c r="BV137" i="20"/>
  <c r="BV141" i="20" s="1"/>
  <c r="BU137" i="20"/>
  <c r="BU141" i="20" s="1"/>
  <c r="BT137" i="20"/>
  <c r="BT141" i="20" s="1"/>
  <c r="BS137" i="20"/>
  <c r="BS141" i="20" s="1"/>
  <c r="BR137" i="20"/>
  <c r="BR141" i="20" s="1"/>
  <c r="BQ137" i="20"/>
  <c r="BQ141" i="20" s="1"/>
  <c r="BP137" i="20"/>
  <c r="BP141" i="20" s="1"/>
  <c r="BO137" i="20"/>
  <c r="BO141" i="20" s="1"/>
  <c r="BN137" i="20"/>
  <c r="BN141" i="20" s="1"/>
  <c r="BM137" i="20"/>
  <c r="BM141" i="20" s="1"/>
  <c r="BL137" i="20"/>
  <c r="BL141" i="20" s="1"/>
  <c r="BK137" i="20"/>
  <c r="BK141" i="20" s="1"/>
  <c r="BJ137" i="20"/>
  <c r="BJ141" i="20" s="1"/>
  <c r="BI137" i="20"/>
  <c r="BI141" i="20" s="1"/>
  <c r="BH137" i="20"/>
  <c r="BH141" i="20" s="1"/>
  <c r="BG137" i="20"/>
  <c r="BG141" i="20" s="1"/>
  <c r="BF137" i="20"/>
  <c r="BF141" i="20" s="1"/>
  <c r="BE137" i="20"/>
  <c r="BE141" i="20" s="1"/>
  <c r="BD137" i="20"/>
  <c r="BD141" i="20" s="1"/>
  <c r="BC137" i="20"/>
  <c r="BC141" i="20" s="1"/>
  <c r="BB137" i="20"/>
  <c r="BB141" i="20" s="1"/>
  <c r="BA137" i="20"/>
  <c r="BA141" i="20" s="1"/>
  <c r="AZ137" i="20"/>
  <c r="AZ141" i="20" s="1"/>
  <c r="AY137" i="20"/>
  <c r="AY141" i="20" s="1"/>
  <c r="AX137" i="20"/>
  <c r="AX141" i="20" s="1"/>
  <c r="AW137" i="20"/>
  <c r="AW141" i="20" s="1"/>
  <c r="AV137" i="20"/>
  <c r="AV141" i="20" s="1"/>
  <c r="AU137" i="20"/>
  <c r="AU141" i="20" s="1"/>
  <c r="AT137" i="20"/>
  <c r="AT141" i="20" s="1"/>
  <c r="AS137" i="20"/>
  <c r="AS141" i="20" s="1"/>
  <c r="AR137" i="20"/>
  <c r="AR141" i="20" s="1"/>
  <c r="AQ137" i="20"/>
  <c r="AQ141" i="20" s="1"/>
  <c r="AP137" i="20"/>
  <c r="AP141" i="20" s="1"/>
  <c r="AO137" i="20"/>
  <c r="AO141" i="20" s="1"/>
  <c r="AN137" i="20"/>
  <c r="AN141" i="20" s="1"/>
  <c r="AM137" i="20"/>
  <c r="AM141" i="20" s="1"/>
  <c r="AL137" i="20"/>
  <c r="AL141" i="20" s="1"/>
  <c r="AK137" i="20"/>
  <c r="AK141" i="20" s="1"/>
  <c r="AJ137" i="20"/>
  <c r="AJ141" i="20" s="1"/>
  <c r="AI137" i="20"/>
  <c r="AI141" i="20" s="1"/>
  <c r="AH137" i="20"/>
  <c r="AH141" i="20" s="1"/>
  <c r="AG137" i="20"/>
  <c r="AG141" i="20" s="1"/>
  <c r="AF137" i="20"/>
  <c r="AF141" i="20" s="1"/>
  <c r="AE137" i="20"/>
  <c r="AE141" i="20" s="1"/>
  <c r="AD137" i="20"/>
  <c r="AD141" i="20" s="1"/>
  <c r="AC137" i="20"/>
  <c r="AC141" i="20" s="1"/>
  <c r="AB137" i="20"/>
  <c r="AB141" i="20" s="1"/>
  <c r="AA137" i="20"/>
  <c r="AA141" i="20" s="1"/>
  <c r="Z137" i="20"/>
  <c r="Z141" i="20" s="1"/>
  <c r="Y137" i="20"/>
  <c r="Y141" i="20" s="1"/>
  <c r="X137" i="20"/>
  <c r="X141" i="20" s="1"/>
  <c r="W137" i="20"/>
  <c r="W141" i="20" s="1"/>
  <c r="V137" i="20"/>
  <c r="V141" i="20" s="1"/>
  <c r="U137" i="20"/>
  <c r="T137" i="20"/>
  <c r="S137" i="20"/>
  <c r="R137" i="20"/>
  <c r="Q137" i="20"/>
  <c r="P137" i="20"/>
  <c r="O137" i="20"/>
  <c r="N137" i="20"/>
  <c r="L137" i="20"/>
  <c r="K137" i="20"/>
  <c r="J137" i="20"/>
  <c r="I137" i="20"/>
  <c r="H137" i="20"/>
  <c r="CI136" i="20"/>
  <c r="CH136" i="20"/>
  <c r="CG136" i="20"/>
  <c r="CF136" i="20"/>
  <c r="CE136" i="20"/>
  <c r="CD136" i="20"/>
  <c r="CC136" i="20"/>
  <c r="CB136" i="20"/>
  <c r="CA136" i="20"/>
  <c r="BZ136" i="20"/>
  <c r="BY136" i="20"/>
  <c r="BX136" i="20"/>
  <c r="BW136" i="20"/>
  <c r="BV136" i="20"/>
  <c r="BU136" i="20"/>
  <c r="BT136" i="20"/>
  <c r="BS136" i="20"/>
  <c r="BR136" i="20"/>
  <c r="BQ136" i="20"/>
  <c r="BP136" i="20"/>
  <c r="BO136" i="20"/>
  <c r="BN136" i="20"/>
  <c r="BM136" i="20"/>
  <c r="BL136" i="20"/>
  <c r="BK136" i="20"/>
  <c r="BJ136" i="20"/>
  <c r="BI136" i="20"/>
  <c r="BH136" i="20"/>
  <c r="BG136" i="20"/>
  <c r="BF136"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V136" i="20"/>
  <c r="U136" i="20"/>
  <c r="T136" i="20"/>
  <c r="S136" i="20"/>
  <c r="R136" i="20"/>
  <c r="Q136" i="20"/>
  <c r="P136" i="20"/>
  <c r="O136" i="20"/>
  <c r="N136" i="20"/>
  <c r="L136" i="20"/>
  <c r="K136" i="20"/>
  <c r="J136" i="20"/>
  <c r="I136" i="20"/>
  <c r="H136" i="20"/>
  <c r="CI135" i="20"/>
  <c r="CH135" i="20"/>
  <c r="CG135" i="20"/>
  <c r="CF135" i="20"/>
  <c r="CE135" i="20"/>
  <c r="CD135" i="20"/>
  <c r="CC135" i="20"/>
  <c r="CB135" i="20"/>
  <c r="CA135" i="20"/>
  <c r="BZ135" i="20"/>
  <c r="BY135" i="20"/>
  <c r="BX135" i="20"/>
  <c r="BW135" i="20"/>
  <c r="BV135" i="20"/>
  <c r="BU135" i="20"/>
  <c r="BT135" i="20"/>
  <c r="BS135" i="20"/>
  <c r="BR135" i="20"/>
  <c r="BQ135" i="20"/>
  <c r="BP135" i="20"/>
  <c r="BO135" i="20"/>
  <c r="BN135" i="20"/>
  <c r="BM135" i="20"/>
  <c r="BL135" i="20"/>
  <c r="BK135" i="20"/>
  <c r="BJ135" i="20"/>
  <c r="BI135" i="20"/>
  <c r="BH135" i="20"/>
  <c r="BG135" i="20"/>
  <c r="BF135" i="20"/>
  <c r="BE135" i="20"/>
  <c r="BD135" i="20"/>
  <c r="BC135" i="20"/>
  <c r="BB135" i="20"/>
  <c r="BA135" i="20"/>
  <c r="AZ135" i="20"/>
  <c r="AY135" i="20"/>
  <c r="AX135" i="20"/>
  <c r="AW135" i="20"/>
  <c r="AV135" i="20"/>
  <c r="AU135" i="20"/>
  <c r="AT135" i="20"/>
  <c r="AS135" i="20"/>
  <c r="AR135" i="20"/>
  <c r="AQ135" i="20"/>
  <c r="AP135" i="20"/>
  <c r="AO135" i="20"/>
  <c r="AN135" i="20"/>
  <c r="AM135" i="20"/>
  <c r="AL135" i="20"/>
  <c r="AK135" i="20"/>
  <c r="AJ135" i="20"/>
  <c r="AI135" i="20"/>
  <c r="AH135" i="20"/>
  <c r="AG135" i="20"/>
  <c r="AF135" i="20"/>
  <c r="AE135" i="20"/>
  <c r="AD135" i="20"/>
  <c r="AC135" i="20"/>
  <c r="AB135" i="20"/>
  <c r="AA135" i="20"/>
  <c r="Z135" i="20"/>
  <c r="Y135" i="20"/>
  <c r="X135" i="20"/>
  <c r="W135" i="20"/>
  <c r="V135" i="20"/>
  <c r="U135" i="20"/>
  <c r="T135" i="20"/>
  <c r="S135" i="20"/>
  <c r="R135" i="20"/>
  <c r="Q135" i="20"/>
  <c r="P135" i="20"/>
  <c r="O135" i="20"/>
  <c r="N135" i="20"/>
  <c r="L135" i="20"/>
  <c r="K135" i="20"/>
  <c r="J135" i="20"/>
  <c r="I135" i="20"/>
  <c r="H135" i="20"/>
  <c r="CI133" i="20"/>
  <c r="CH133" i="20"/>
  <c r="CG133" i="20"/>
  <c r="CF133" i="20"/>
  <c r="CE133" i="20"/>
  <c r="CD133" i="20"/>
  <c r="CC133" i="20"/>
  <c r="CB133" i="20"/>
  <c r="CA133" i="20"/>
  <c r="BZ133" i="20"/>
  <c r="BY133" i="20"/>
  <c r="BX133" i="20"/>
  <c r="BW133" i="20"/>
  <c r="BV133" i="20"/>
  <c r="BU133" i="20"/>
  <c r="BT133" i="20"/>
  <c r="BS133" i="20"/>
  <c r="BR133" i="20"/>
  <c r="BQ133" i="20"/>
  <c r="BP133" i="20"/>
  <c r="BO133" i="20"/>
  <c r="BN133" i="20"/>
  <c r="BM133" i="20"/>
  <c r="BL133" i="20"/>
  <c r="BK133" i="20"/>
  <c r="BJ133" i="20"/>
  <c r="BI133" i="20"/>
  <c r="BH133" i="20"/>
  <c r="BG133" i="20"/>
  <c r="BF133" i="20"/>
  <c r="BE133" i="20"/>
  <c r="BD133" i="20"/>
  <c r="BC133" i="20"/>
  <c r="BB133" i="20"/>
  <c r="BA133" i="20"/>
  <c r="AZ133" i="20"/>
  <c r="AY133" i="20"/>
  <c r="AX133" i="20"/>
  <c r="AW133" i="20"/>
  <c r="AV133" i="20"/>
  <c r="AU133" i="20"/>
  <c r="AT133" i="20"/>
  <c r="AS133" i="20"/>
  <c r="AR133" i="20"/>
  <c r="AQ133" i="20"/>
  <c r="AP133" i="20"/>
  <c r="AO133" i="20"/>
  <c r="AN133" i="20"/>
  <c r="AM133" i="20"/>
  <c r="AL133" i="20"/>
  <c r="AK133" i="20"/>
  <c r="AJ133" i="20"/>
  <c r="AI133" i="20"/>
  <c r="AH133" i="20"/>
  <c r="AG133" i="20"/>
  <c r="AF133" i="20"/>
  <c r="AE133" i="20"/>
  <c r="AD133" i="20"/>
  <c r="AC133" i="20"/>
  <c r="AB133" i="20"/>
  <c r="AA133" i="20"/>
  <c r="Z133" i="20"/>
  <c r="Y133" i="20"/>
  <c r="X133" i="20"/>
  <c r="W133" i="20"/>
  <c r="V133" i="20"/>
  <c r="U133" i="20"/>
  <c r="T133" i="20"/>
  <c r="S133" i="20"/>
  <c r="R133" i="20"/>
  <c r="Q133" i="20"/>
  <c r="P133" i="20"/>
  <c r="O133" i="20"/>
  <c r="N133" i="20"/>
  <c r="L133" i="20"/>
  <c r="K133" i="20"/>
  <c r="J133" i="20"/>
  <c r="I133" i="20"/>
  <c r="H133" i="20"/>
  <c r="CI130" i="20"/>
  <c r="CH130" i="20"/>
  <c r="CG130" i="20"/>
  <c r="CF130" i="20"/>
  <c r="CE130" i="20"/>
  <c r="CD130" i="20"/>
  <c r="CC130" i="20"/>
  <c r="CB130" i="20"/>
  <c r="CA130" i="20"/>
  <c r="BZ130" i="20"/>
  <c r="BY130" i="20"/>
  <c r="BX130" i="20"/>
  <c r="BW130" i="20"/>
  <c r="BV130" i="20"/>
  <c r="BU130" i="20"/>
  <c r="BT130" i="20"/>
  <c r="BS130" i="20"/>
  <c r="BR130" i="20"/>
  <c r="BQ130" i="20"/>
  <c r="BP130" i="20"/>
  <c r="BO130" i="20"/>
  <c r="BN130" i="20"/>
  <c r="BM130" i="20"/>
  <c r="BL130" i="20"/>
  <c r="BK130" i="20"/>
  <c r="BJ130" i="20"/>
  <c r="BI130" i="20"/>
  <c r="BH130" i="20"/>
  <c r="BG130" i="20"/>
  <c r="BF130"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V130" i="20"/>
  <c r="U130" i="20"/>
  <c r="T130" i="20"/>
  <c r="S130" i="20"/>
  <c r="R130" i="20"/>
  <c r="Q130" i="20"/>
  <c r="P130" i="20"/>
  <c r="O130" i="20"/>
  <c r="N130" i="20"/>
  <c r="L130" i="20"/>
  <c r="K130" i="20"/>
  <c r="J130" i="20"/>
  <c r="I130" i="20"/>
  <c r="H130" i="20"/>
  <c r="CI129" i="20"/>
  <c r="CH129" i="20"/>
  <c r="CG129" i="20"/>
  <c r="CF129" i="20"/>
  <c r="CE129" i="20"/>
  <c r="CD129" i="20"/>
  <c r="CC129" i="20"/>
  <c r="CB129" i="20"/>
  <c r="CA129" i="20"/>
  <c r="BZ129" i="20"/>
  <c r="BY129" i="20"/>
  <c r="BX129" i="20"/>
  <c r="BW129" i="20"/>
  <c r="BV129" i="20"/>
  <c r="BU129" i="20"/>
  <c r="BT129" i="20"/>
  <c r="BS129" i="20"/>
  <c r="BR129" i="20"/>
  <c r="BQ129" i="20"/>
  <c r="BP129" i="20"/>
  <c r="BO129" i="20"/>
  <c r="BN129" i="20"/>
  <c r="BM129" i="20"/>
  <c r="BL129" i="20"/>
  <c r="BK129" i="20"/>
  <c r="BJ129" i="20"/>
  <c r="BI129" i="20"/>
  <c r="BH129" i="20"/>
  <c r="BG129" i="20"/>
  <c r="BF129" i="20"/>
  <c r="BE129" i="20"/>
  <c r="BD129" i="20"/>
  <c r="BC129" i="20"/>
  <c r="BB129" i="20"/>
  <c r="BA129" i="20"/>
  <c r="AZ129" i="20"/>
  <c r="AY129" i="20"/>
  <c r="AX129" i="20"/>
  <c r="AW129" i="20"/>
  <c r="AV129" i="20"/>
  <c r="AU129" i="20"/>
  <c r="AT129" i="20"/>
  <c r="AS129" i="20"/>
  <c r="AR129" i="20"/>
  <c r="AQ129" i="20"/>
  <c r="AP129" i="20"/>
  <c r="AO129" i="20"/>
  <c r="AN129" i="20"/>
  <c r="AM129" i="20"/>
  <c r="AL129" i="20"/>
  <c r="AK129" i="20"/>
  <c r="AJ129" i="20"/>
  <c r="AI129" i="20"/>
  <c r="AH129" i="20"/>
  <c r="AG129" i="20"/>
  <c r="AF129" i="20"/>
  <c r="AE129" i="20"/>
  <c r="AD129" i="20"/>
  <c r="AC129" i="20"/>
  <c r="AB129" i="20"/>
  <c r="AA129" i="20"/>
  <c r="Z129" i="20"/>
  <c r="Y129" i="20"/>
  <c r="X129" i="20"/>
  <c r="W129" i="20"/>
  <c r="V129" i="20"/>
  <c r="U129" i="20"/>
  <c r="T129" i="20"/>
  <c r="S129" i="20"/>
  <c r="R129" i="20"/>
  <c r="Q129" i="20"/>
  <c r="P129" i="20"/>
  <c r="O129" i="20"/>
  <c r="N129" i="20"/>
  <c r="L129" i="20"/>
  <c r="K129" i="20"/>
  <c r="J129" i="20"/>
  <c r="I129" i="20"/>
  <c r="H129" i="20"/>
  <c r="CI127" i="20"/>
  <c r="CH127" i="20"/>
  <c r="CG127" i="20"/>
  <c r="CF127" i="20"/>
  <c r="CE127" i="20"/>
  <c r="CD127" i="20"/>
  <c r="CC127" i="20"/>
  <c r="CB127" i="20"/>
  <c r="CA127" i="20"/>
  <c r="BZ127" i="20"/>
  <c r="BY127" i="20"/>
  <c r="BX127" i="20"/>
  <c r="BW127" i="20"/>
  <c r="BV127" i="20"/>
  <c r="BU127" i="20"/>
  <c r="BT127" i="20"/>
  <c r="BS127" i="20"/>
  <c r="BR127" i="20"/>
  <c r="BQ127" i="20"/>
  <c r="BP127" i="20"/>
  <c r="BO127" i="20"/>
  <c r="BN127" i="20"/>
  <c r="BM127" i="20"/>
  <c r="BL127" i="20"/>
  <c r="BK127" i="20"/>
  <c r="BJ127" i="20"/>
  <c r="BI127" i="20"/>
  <c r="BH127" i="20"/>
  <c r="BG127" i="20"/>
  <c r="BF127" i="20"/>
  <c r="BE127" i="20"/>
  <c r="BD127" i="20"/>
  <c r="BC127" i="20"/>
  <c r="BB127" i="20"/>
  <c r="BA127" i="20"/>
  <c r="AZ127" i="20"/>
  <c r="AY127" i="20"/>
  <c r="AX127" i="20"/>
  <c r="AW127" i="20"/>
  <c r="AV127" i="20"/>
  <c r="AU127" i="20"/>
  <c r="AT127" i="20"/>
  <c r="AS127" i="20"/>
  <c r="AR127" i="20"/>
  <c r="AQ127" i="20"/>
  <c r="AP127" i="20"/>
  <c r="AO127" i="20"/>
  <c r="AN127" i="20"/>
  <c r="AM127" i="20"/>
  <c r="AL127" i="20"/>
  <c r="AK127" i="20"/>
  <c r="AJ127" i="20"/>
  <c r="AI127" i="20"/>
  <c r="AH127" i="20"/>
  <c r="AG127" i="20"/>
  <c r="AF127" i="20"/>
  <c r="AE127" i="20"/>
  <c r="AD127" i="20"/>
  <c r="AC127" i="20"/>
  <c r="AB127" i="20"/>
  <c r="AA127" i="20"/>
  <c r="Z127" i="20"/>
  <c r="Y127" i="20"/>
  <c r="X127" i="20"/>
  <c r="W127" i="20"/>
  <c r="V127" i="20"/>
  <c r="U127" i="20"/>
  <c r="T127" i="20"/>
  <c r="S127" i="20"/>
  <c r="R127" i="20"/>
  <c r="Q127" i="20"/>
  <c r="P127" i="20"/>
  <c r="O127" i="20"/>
  <c r="N127" i="20"/>
  <c r="L127" i="20"/>
  <c r="K127" i="20"/>
  <c r="J127" i="20"/>
  <c r="I127" i="20"/>
  <c r="H127" i="20"/>
  <c r="CI125" i="20"/>
  <c r="CH125" i="20"/>
  <c r="CG125" i="20"/>
  <c r="CF125" i="20"/>
  <c r="CE125" i="20"/>
  <c r="CD125" i="20"/>
  <c r="CC125" i="20"/>
  <c r="CB125" i="20"/>
  <c r="CA125" i="20"/>
  <c r="BZ125" i="20"/>
  <c r="BY125" i="20"/>
  <c r="BX125" i="20"/>
  <c r="BW125" i="20"/>
  <c r="BV125" i="20"/>
  <c r="BU125" i="20"/>
  <c r="BT125" i="20"/>
  <c r="BS125" i="20"/>
  <c r="BR125" i="20"/>
  <c r="BQ125" i="20"/>
  <c r="BP125" i="20"/>
  <c r="BO125" i="20"/>
  <c r="BN125" i="20"/>
  <c r="BM125" i="20"/>
  <c r="BL125" i="20"/>
  <c r="BK125" i="20"/>
  <c r="BJ125" i="20"/>
  <c r="BI125" i="20"/>
  <c r="BH125" i="20"/>
  <c r="BG125" i="20"/>
  <c r="BF125" i="20"/>
  <c r="BE125" i="20"/>
  <c r="BD125" i="20"/>
  <c r="BC125" i="20"/>
  <c r="BB125" i="20"/>
  <c r="BA125" i="20"/>
  <c r="AZ125" i="20"/>
  <c r="AY125" i="20"/>
  <c r="AX125" i="20"/>
  <c r="AW125" i="20"/>
  <c r="AV125" i="20"/>
  <c r="AU125" i="20"/>
  <c r="AT125" i="20"/>
  <c r="AS125" i="20"/>
  <c r="AR125" i="20"/>
  <c r="AQ125" i="20"/>
  <c r="AP125" i="20"/>
  <c r="AO125" i="20"/>
  <c r="AN125" i="20"/>
  <c r="AM125" i="20"/>
  <c r="AL125" i="20"/>
  <c r="AK125" i="20"/>
  <c r="AJ125" i="20"/>
  <c r="AI125" i="20"/>
  <c r="AH125" i="20"/>
  <c r="AG125" i="20"/>
  <c r="AF125" i="20"/>
  <c r="AE125" i="20"/>
  <c r="AD125" i="20"/>
  <c r="AC125" i="20"/>
  <c r="AB125" i="20"/>
  <c r="AA125" i="20"/>
  <c r="Z125" i="20"/>
  <c r="Y125" i="20"/>
  <c r="X125" i="20"/>
  <c r="W125" i="20"/>
  <c r="V125" i="20"/>
  <c r="U125" i="20"/>
  <c r="T125" i="20"/>
  <c r="S125" i="20"/>
  <c r="R125" i="20"/>
  <c r="Q125" i="20"/>
  <c r="P125" i="20"/>
  <c r="O125" i="20"/>
  <c r="N125" i="20"/>
  <c r="L125" i="20"/>
  <c r="K125" i="20"/>
  <c r="J125" i="20"/>
  <c r="I125" i="20"/>
  <c r="H125" i="20"/>
  <c r="CI124" i="20"/>
  <c r="CH124" i="20"/>
  <c r="CG124" i="20"/>
  <c r="CF124" i="20"/>
  <c r="CE124" i="20"/>
  <c r="CD124" i="20"/>
  <c r="CC124" i="20"/>
  <c r="CB124" i="20"/>
  <c r="CA124" i="20"/>
  <c r="BZ124" i="20"/>
  <c r="BY124" i="20"/>
  <c r="BX124" i="20"/>
  <c r="BW124" i="20"/>
  <c r="BV124" i="20"/>
  <c r="BU124" i="20"/>
  <c r="BT124" i="20"/>
  <c r="BS124" i="20"/>
  <c r="BR124" i="20"/>
  <c r="BQ124" i="20"/>
  <c r="BP124" i="20"/>
  <c r="BO124" i="20"/>
  <c r="BN124" i="20"/>
  <c r="BM124" i="20"/>
  <c r="BL124" i="20"/>
  <c r="BK124" i="20"/>
  <c r="BJ124" i="20"/>
  <c r="BI124" i="20"/>
  <c r="BH124" i="20"/>
  <c r="BG124" i="20"/>
  <c r="BF124"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V124" i="20"/>
  <c r="U124" i="20"/>
  <c r="T124" i="20"/>
  <c r="S124" i="20"/>
  <c r="R124" i="20"/>
  <c r="Q124" i="20"/>
  <c r="P124" i="20"/>
  <c r="O124" i="20"/>
  <c r="N124" i="20"/>
  <c r="L124" i="20"/>
  <c r="K124" i="20"/>
  <c r="J124" i="20"/>
  <c r="I124" i="20"/>
  <c r="H124" i="20"/>
  <c r="CI62" i="15"/>
  <c r="CI75" i="15" s="1"/>
  <c r="CH62" i="15"/>
  <c r="CH75" i="15" s="1"/>
  <c r="CG62" i="15"/>
  <c r="CG75" i="15" s="1"/>
  <c r="CF62" i="15"/>
  <c r="CF75" i="15" s="1"/>
  <c r="CE62" i="15"/>
  <c r="CE75" i="15" s="1"/>
  <c r="CD62" i="15"/>
  <c r="CD75" i="15" s="1"/>
  <c r="CC62" i="15"/>
  <c r="CC75" i="15" s="1"/>
  <c r="CB62" i="15"/>
  <c r="CB75" i="15" s="1"/>
  <c r="CA62" i="15"/>
  <c r="CA75" i="15" s="1"/>
  <c r="BZ62" i="15"/>
  <c r="BZ75" i="15" s="1"/>
  <c r="BY62" i="15"/>
  <c r="BY75" i="15" s="1"/>
  <c r="BX62" i="15"/>
  <c r="BX75" i="15" s="1"/>
  <c r="BW62" i="15"/>
  <c r="BW75" i="15" s="1"/>
  <c r="BV62" i="15"/>
  <c r="BV75" i="15" s="1"/>
  <c r="BU62" i="15"/>
  <c r="BU75" i="15" s="1"/>
  <c r="BT62" i="15"/>
  <c r="BT75" i="15" s="1"/>
  <c r="BS62" i="15"/>
  <c r="BS75" i="15" s="1"/>
  <c r="BR62" i="15"/>
  <c r="BR75" i="15" s="1"/>
  <c r="BQ62" i="15"/>
  <c r="BQ75" i="15" s="1"/>
  <c r="BP62" i="15"/>
  <c r="BP75" i="15" s="1"/>
  <c r="BO62" i="15"/>
  <c r="BO75" i="15" s="1"/>
  <c r="BN62" i="15"/>
  <c r="BN75" i="15" s="1"/>
  <c r="BM62" i="15"/>
  <c r="BM75" i="15" s="1"/>
  <c r="BL62" i="15"/>
  <c r="BL75" i="15" s="1"/>
  <c r="BK62" i="15"/>
  <c r="BK75" i="15" s="1"/>
  <c r="BJ62" i="15"/>
  <c r="BJ75" i="15" s="1"/>
  <c r="BI62" i="15"/>
  <c r="BI75" i="15" s="1"/>
  <c r="BH62" i="15"/>
  <c r="BH75" i="15" s="1"/>
  <c r="BG62" i="15"/>
  <c r="BG75" i="15" s="1"/>
  <c r="BF62" i="15"/>
  <c r="BF75" i="15" s="1"/>
  <c r="BE62" i="15"/>
  <c r="BE75" i="15" s="1"/>
  <c r="BD62" i="15"/>
  <c r="BD75" i="15" s="1"/>
  <c r="BC62" i="15"/>
  <c r="BC75" i="15" s="1"/>
  <c r="BB62" i="15"/>
  <c r="BB75" i="15" s="1"/>
  <c r="BA62" i="15"/>
  <c r="BA75" i="15" s="1"/>
  <c r="AZ62" i="15"/>
  <c r="AZ75" i="15" s="1"/>
  <c r="AY62" i="15"/>
  <c r="AY75" i="15" s="1"/>
  <c r="AX62" i="15"/>
  <c r="AX75" i="15" s="1"/>
  <c r="AW62" i="15"/>
  <c r="AW75" i="15" s="1"/>
  <c r="AV62" i="15"/>
  <c r="AV75" i="15" s="1"/>
  <c r="AU62" i="15"/>
  <c r="AU75" i="15" s="1"/>
  <c r="AT62" i="15"/>
  <c r="AT75" i="15" s="1"/>
  <c r="AS62" i="15"/>
  <c r="AS75" i="15" s="1"/>
  <c r="AR62" i="15"/>
  <c r="AR75" i="15" s="1"/>
  <c r="AQ62" i="15"/>
  <c r="AQ75" i="15" s="1"/>
  <c r="AP62" i="15"/>
  <c r="AP75" i="15" s="1"/>
  <c r="AO62" i="15"/>
  <c r="AO75" i="15" s="1"/>
  <c r="AN62" i="15"/>
  <c r="AN75" i="15" s="1"/>
  <c r="AM62" i="15"/>
  <c r="AM75" i="15" s="1"/>
  <c r="AL62" i="15"/>
  <c r="AL75" i="15" s="1"/>
  <c r="AK62" i="15"/>
  <c r="AK75" i="15" s="1"/>
  <c r="AJ62" i="15"/>
  <c r="AJ75" i="15" s="1"/>
  <c r="AI62" i="15"/>
  <c r="AI75" i="15" s="1"/>
  <c r="AH62" i="15"/>
  <c r="AH75" i="15" s="1"/>
  <c r="AG62" i="15"/>
  <c r="AG75" i="15" s="1"/>
  <c r="AF62" i="15"/>
  <c r="AF75" i="15" s="1"/>
  <c r="AE62" i="15"/>
  <c r="AE75" i="15" s="1"/>
  <c r="AD62" i="15"/>
  <c r="AD75" i="15" s="1"/>
  <c r="AC62" i="15"/>
  <c r="AC75" i="15" s="1"/>
  <c r="AB62" i="15"/>
  <c r="AB75" i="15" s="1"/>
  <c r="AA62" i="15"/>
  <c r="AA75" i="15" s="1"/>
  <c r="Z62" i="15"/>
  <c r="Z75" i="15" s="1"/>
  <c r="Y62" i="15"/>
  <c r="Y75" i="15" s="1"/>
  <c r="X62" i="15"/>
  <c r="X75" i="15" s="1"/>
  <c r="W62" i="15"/>
  <c r="W75" i="15" s="1"/>
  <c r="V62" i="15"/>
  <c r="V75" i="15" s="1"/>
  <c r="U62" i="15"/>
  <c r="U75" i="15" s="1"/>
  <c r="T62" i="15"/>
  <c r="T75" i="15" s="1"/>
  <c r="S62" i="15"/>
  <c r="S75" i="15" s="1"/>
  <c r="R62" i="15"/>
  <c r="R75" i="15" s="1"/>
  <c r="Q62" i="15"/>
  <c r="Q75" i="15" s="1"/>
  <c r="P62" i="15"/>
  <c r="P75" i="15" s="1"/>
  <c r="O62" i="15"/>
  <c r="O75" i="15" s="1"/>
  <c r="M62" i="15"/>
  <c r="M75" i="15" s="1"/>
  <c r="L62" i="15"/>
  <c r="L75" i="15" s="1"/>
  <c r="K62" i="15"/>
  <c r="K75" i="15" s="1"/>
  <c r="J62" i="15"/>
  <c r="J75" i="15" s="1"/>
  <c r="I88" i="20"/>
  <c r="I62" i="15" s="1"/>
  <c r="I75" i="15" s="1"/>
  <c r="G84" i="20"/>
  <c r="G83" i="20"/>
  <c r="G82" i="20"/>
  <c r="CI81" i="20"/>
  <c r="CH81" i="20"/>
  <c r="CG81" i="20"/>
  <c r="CF81" i="20"/>
  <c r="CE81" i="20"/>
  <c r="CD81" i="20"/>
  <c r="CC81" i="20"/>
  <c r="CB81" i="20"/>
  <c r="CA81" i="20"/>
  <c r="BZ81" i="20"/>
  <c r="BY81" i="20"/>
  <c r="BX81" i="20"/>
  <c r="BW81" i="20"/>
  <c r="BV81" i="20"/>
  <c r="BU81" i="20"/>
  <c r="BT81" i="20"/>
  <c r="BS81" i="20"/>
  <c r="BR81" i="20"/>
  <c r="BQ81" i="20"/>
  <c r="BP81" i="20"/>
  <c r="BO81" i="20"/>
  <c r="BN81" i="20"/>
  <c r="BM81" i="20"/>
  <c r="BL81" i="20"/>
  <c r="BK81" i="20"/>
  <c r="BJ81" i="20"/>
  <c r="BI81" i="20"/>
  <c r="BH81" i="20"/>
  <c r="BG81" i="20"/>
  <c r="BF81" i="20"/>
  <c r="BE81" i="20"/>
  <c r="BD81" i="20"/>
  <c r="BC81" i="20"/>
  <c r="BB81" i="20"/>
  <c r="BA81" i="20"/>
  <c r="AZ81" i="20"/>
  <c r="AY81" i="20"/>
  <c r="AX81" i="20"/>
  <c r="AW81" i="20"/>
  <c r="AV81" i="20"/>
  <c r="AU81" i="20"/>
  <c r="AT81" i="20"/>
  <c r="AS81" i="20"/>
  <c r="AR81" i="20"/>
  <c r="AQ81" i="20"/>
  <c r="AP81" i="20"/>
  <c r="AO81" i="20"/>
  <c r="AN81" i="20"/>
  <c r="AM81" i="20"/>
  <c r="AL81" i="20"/>
  <c r="AK81" i="20"/>
  <c r="AJ81" i="20"/>
  <c r="AI81" i="20"/>
  <c r="AH81" i="20"/>
  <c r="AG81" i="20"/>
  <c r="AF81" i="20"/>
  <c r="AE81" i="20"/>
  <c r="AD81" i="20"/>
  <c r="AC81" i="20"/>
  <c r="AB81" i="20"/>
  <c r="AA81" i="20"/>
  <c r="Z81" i="20"/>
  <c r="Y81" i="20"/>
  <c r="X81" i="20"/>
  <c r="W81" i="20"/>
  <c r="V81" i="20"/>
  <c r="U81" i="20"/>
  <c r="T81" i="20"/>
  <c r="S81" i="20"/>
  <c r="R81" i="20"/>
  <c r="Q81" i="20"/>
  <c r="P81" i="20"/>
  <c r="O81" i="20"/>
  <c r="N81" i="20"/>
  <c r="M81" i="20"/>
  <c r="L81" i="20"/>
  <c r="K81" i="20"/>
  <c r="J81" i="20"/>
  <c r="I81" i="20"/>
  <c r="H81" i="20"/>
  <c r="G81" i="20"/>
  <c r="H66" i="20"/>
  <c r="CI61" i="20"/>
  <c r="CH61" i="20"/>
  <c r="CG61" i="20"/>
  <c r="CF61" i="20"/>
  <c r="CE61" i="20"/>
  <c r="CE60" i="15" s="1"/>
  <c r="CD61" i="20"/>
  <c r="CC61" i="20"/>
  <c r="CB61" i="20"/>
  <c r="CA61" i="20"/>
  <c r="BZ61" i="20"/>
  <c r="BY61" i="20"/>
  <c r="BX61" i="20"/>
  <c r="BW61" i="20"/>
  <c r="BW60" i="15" s="1"/>
  <c r="BV61" i="20"/>
  <c r="BU61" i="20"/>
  <c r="BT61" i="20"/>
  <c r="BS61" i="20"/>
  <c r="BR61" i="20"/>
  <c r="BQ61" i="20"/>
  <c r="BP61" i="20"/>
  <c r="BO61" i="20"/>
  <c r="BO60" i="15" s="1"/>
  <c r="BN61" i="20"/>
  <c r="BM61" i="20"/>
  <c r="BL61" i="20"/>
  <c r="BK61" i="20"/>
  <c r="BJ61" i="20"/>
  <c r="BI61" i="20"/>
  <c r="BH61" i="20"/>
  <c r="BG61" i="20"/>
  <c r="BG60" i="15" s="1"/>
  <c r="BF61" i="20"/>
  <c r="BE61" i="20"/>
  <c r="BD61" i="20"/>
  <c r="BC61" i="20"/>
  <c r="BB61" i="20"/>
  <c r="BA61" i="20"/>
  <c r="AZ61" i="20"/>
  <c r="AY61" i="20"/>
  <c r="AY60" i="15" s="1"/>
  <c r="AX61" i="20"/>
  <c r="AW61" i="20"/>
  <c r="AV61" i="20"/>
  <c r="AU61" i="20"/>
  <c r="AT61" i="20"/>
  <c r="AS61" i="20"/>
  <c r="AR61" i="20"/>
  <c r="AQ61" i="20"/>
  <c r="AQ60" i="15" s="1"/>
  <c r="AP61" i="20"/>
  <c r="AO61" i="20"/>
  <c r="AN61" i="20"/>
  <c r="AM61" i="20"/>
  <c r="AL61" i="20"/>
  <c r="AK61" i="20"/>
  <c r="AJ61" i="20"/>
  <c r="AI61" i="20"/>
  <c r="AI60" i="15" s="1"/>
  <c r="AH61" i="20"/>
  <c r="AG61" i="20"/>
  <c r="AF61" i="20"/>
  <c r="AE61" i="20"/>
  <c r="AD61" i="20"/>
  <c r="AC61" i="20"/>
  <c r="AB61" i="20"/>
  <c r="AA61" i="20"/>
  <c r="AA60" i="15" s="1"/>
  <c r="Z61" i="20"/>
  <c r="Y61" i="20"/>
  <c r="X61" i="20"/>
  <c r="W61" i="20"/>
  <c r="V61" i="20"/>
  <c r="U61" i="20"/>
  <c r="T61" i="20"/>
  <c r="S61" i="20"/>
  <c r="S60" i="15" s="1"/>
  <c r="R61" i="20"/>
  <c r="Q61" i="20"/>
  <c r="P61" i="20"/>
  <c r="O61" i="20"/>
  <c r="N61" i="20"/>
  <c r="M61" i="20"/>
  <c r="K61" i="20"/>
  <c r="K60" i="15" s="1"/>
  <c r="J61" i="20"/>
  <c r="I61" i="20"/>
  <c r="H61" i="20"/>
  <c r="G371" i="20"/>
  <c r="CI52" i="20"/>
  <c r="CH52" i="20"/>
  <c r="CG52" i="20"/>
  <c r="CF52" i="20"/>
  <c r="CE52" i="20"/>
  <c r="CD52" i="20"/>
  <c r="CC52" i="20"/>
  <c r="CB52" i="20"/>
  <c r="CA52" i="20"/>
  <c r="BZ52" i="20"/>
  <c r="BY52" i="20"/>
  <c r="BX52" i="20"/>
  <c r="BW52" i="20"/>
  <c r="BV52" i="20"/>
  <c r="BU52" i="20"/>
  <c r="BT52" i="20"/>
  <c r="BS52" i="20"/>
  <c r="BR52" i="20"/>
  <c r="BQ52" i="20"/>
  <c r="BP52" i="20"/>
  <c r="BO52" i="20"/>
  <c r="BN52" i="20"/>
  <c r="BM52" i="20"/>
  <c r="BL52" i="20"/>
  <c r="BK52" i="20"/>
  <c r="BJ52" i="20"/>
  <c r="BI52" i="20"/>
  <c r="BH52" i="20"/>
  <c r="BG52" i="20"/>
  <c r="BF52"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V52" i="20"/>
  <c r="U52" i="20"/>
  <c r="T52" i="20"/>
  <c r="S52" i="20"/>
  <c r="R52" i="20"/>
  <c r="Q52" i="20"/>
  <c r="P52" i="20"/>
  <c r="O52" i="20"/>
  <c r="N52" i="20"/>
  <c r="M52" i="20"/>
  <c r="L52" i="20"/>
  <c r="K52" i="20"/>
  <c r="J52" i="20"/>
  <c r="I52" i="20"/>
  <c r="H52" i="20"/>
  <c r="G52" i="20"/>
  <c r="CI51" i="20"/>
  <c r="CH51" i="20"/>
  <c r="CG51" i="20"/>
  <c r="CF51" i="20"/>
  <c r="CE51" i="20"/>
  <c r="CD51" i="20"/>
  <c r="CC51" i="20"/>
  <c r="CB51" i="20"/>
  <c r="CA51" i="20"/>
  <c r="BZ51" i="20"/>
  <c r="BY51" i="20"/>
  <c r="BX51" i="20"/>
  <c r="BW51" i="20"/>
  <c r="BV51" i="20"/>
  <c r="BU51" i="20"/>
  <c r="BT51" i="20"/>
  <c r="BS51" i="20"/>
  <c r="BR51" i="20"/>
  <c r="BQ51" i="20"/>
  <c r="BP51" i="20"/>
  <c r="BO51" i="20"/>
  <c r="BN51" i="20"/>
  <c r="BM51" i="20"/>
  <c r="BL51" i="20"/>
  <c r="BK51" i="20"/>
  <c r="BJ51" i="20"/>
  <c r="BI51" i="20"/>
  <c r="BH51" i="20"/>
  <c r="BG51" i="20"/>
  <c r="BF51" i="20"/>
  <c r="BE51" i="20"/>
  <c r="BD51" i="20"/>
  <c r="BC51" i="20"/>
  <c r="BB51" i="20"/>
  <c r="BA51" i="20"/>
  <c r="AZ51" i="20"/>
  <c r="AY51" i="20"/>
  <c r="AX51" i="20"/>
  <c r="AW51" i="20"/>
  <c r="AV51" i="20"/>
  <c r="AU51" i="20"/>
  <c r="AT51" i="20"/>
  <c r="AS51" i="20"/>
  <c r="AR51" i="20"/>
  <c r="AQ51" i="20"/>
  <c r="AP51" i="20"/>
  <c r="AO51" i="20"/>
  <c r="AN51" i="20"/>
  <c r="AM51" i="20"/>
  <c r="AL51" i="20"/>
  <c r="AK51" i="20"/>
  <c r="AJ51" i="20"/>
  <c r="AI51"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H51" i="20"/>
  <c r="G51" i="20"/>
  <c r="CI50" i="20"/>
  <c r="CH50" i="20"/>
  <c r="CG50" i="20"/>
  <c r="CF50" i="20"/>
  <c r="CE50" i="20"/>
  <c r="CD50" i="20"/>
  <c r="CC50" i="20"/>
  <c r="CB50" i="20"/>
  <c r="CA50" i="20"/>
  <c r="BZ50" i="20"/>
  <c r="BY50" i="20"/>
  <c r="BX50" i="20"/>
  <c r="BW50" i="20"/>
  <c r="BV50" i="20"/>
  <c r="BU50" i="20"/>
  <c r="BT50" i="20"/>
  <c r="BS50" i="20"/>
  <c r="BR50" i="20"/>
  <c r="BQ50" i="20"/>
  <c r="BP50" i="20"/>
  <c r="BO50" i="20"/>
  <c r="BN50" i="20"/>
  <c r="BM50" i="20"/>
  <c r="BL50" i="20"/>
  <c r="BK50" i="20"/>
  <c r="BJ50" i="20"/>
  <c r="BI50" i="20"/>
  <c r="BH50" i="20"/>
  <c r="BG50" i="20"/>
  <c r="BF50"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V50" i="20"/>
  <c r="U50" i="20"/>
  <c r="T50" i="20"/>
  <c r="S50" i="20"/>
  <c r="R50" i="20"/>
  <c r="Q50" i="20"/>
  <c r="P50" i="20"/>
  <c r="O50" i="20"/>
  <c r="N50" i="20"/>
  <c r="M50" i="20"/>
  <c r="L50" i="20"/>
  <c r="K50" i="20"/>
  <c r="J50" i="20"/>
  <c r="I50" i="20"/>
  <c r="H50" i="20"/>
  <c r="G50" i="20"/>
  <c r="CI49" i="20"/>
  <c r="CH49" i="20"/>
  <c r="CG49" i="20"/>
  <c r="CF49" i="20"/>
  <c r="CE49" i="20"/>
  <c r="CD49" i="20"/>
  <c r="CC49" i="20"/>
  <c r="CB49" i="20"/>
  <c r="CA49" i="20"/>
  <c r="BZ49" i="20"/>
  <c r="BY49" i="20"/>
  <c r="BX49" i="20"/>
  <c r="BW49" i="20"/>
  <c r="BV49" i="20"/>
  <c r="BU49" i="20"/>
  <c r="BT49" i="20"/>
  <c r="BS49" i="20"/>
  <c r="BR49" i="20"/>
  <c r="BQ49" i="20"/>
  <c r="BP49" i="20"/>
  <c r="BO49" i="20"/>
  <c r="BN49" i="20"/>
  <c r="BM49" i="20"/>
  <c r="BL49" i="20"/>
  <c r="BK49" i="20"/>
  <c r="BJ49" i="20"/>
  <c r="BI49" i="20"/>
  <c r="BH49" i="20"/>
  <c r="BG49" i="20"/>
  <c r="BF49" i="20"/>
  <c r="BE49" i="20"/>
  <c r="BD49" i="20"/>
  <c r="BC49" i="20"/>
  <c r="BB49" i="20"/>
  <c r="BA49" i="20"/>
  <c r="AZ49" i="20"/>
  <c r="AY49" i="20"/>
  <c r="AX49" i="20"/>
  <c r="AW49" i="20"/>
  <c r="AV49" i="20"/>
  <c r="AU49" i="20"/>
  <c r="AT49" i="20"/>
  <c r="AS49" i="20"/>
  <c r="AR49" i="20"/>
  <c r="AQ49" i="20"/>
  <c r="AP49" i="20"/>
  <c r="AO49" i="20"/>
  <c r="AN49" i="20"/>
  <c r="AM49" i="20"/>
  <c r="AL49" i="20"/>
  <c r="AK49" i="20"/>
  <c r="AJ49" i="20"/>
  <c r="AI49" i="20"/>
  <c r="AH49" i="20"/>
  <c r="AG49" i="20"/>
  <c r="AF49" i="20"/>
  <c r="AE49" i="20"/>
  <c r="AD49" i="20"/>
  <c r="AC49" i="20"/>
  <c r="AB49" i="20"/>
  <c r="AA49" i="20"/>
  <c r="Z49" i="20"/>
  <c r="Y49" i="20"/>
  <c r="X49" i="20"/>
  <c r="W49" i="20"/>
  <c r="V49" i="20"/>
  <c r="U49" i="20"/>
  <c r="T49" i="20"/>
  <c r="S49" i="20"/>
  <c r="R49" i="20"/>
  <c r="Q49" i="20"/>
  <c r="P49" i="20"/>
  <c r="O49" i="20"/>
  <c r="N49" i="20"/>
  <c r="M49" i="20"/>
  <c r="L49" i="20"/>
  <c r="K49" i="20"/>
  <c r="J49" i="20"/>
  <c r="I49" i="20"/>
  <c r="H49" i="20"/>
  <c r="CI32" i="20"/>
  <c r="CI41" i="20" s="1"/>
  <c r="CH32" i="20"/>
  <c r="CH41" i="20" s="1"/>
  <c r="CG32" i="20"/>
  <c r="CG41" i="20" s="1"/>
  <c r="CF32" i="20"/>
  <c r="CF41" i="20" s="1"/>
  <c r="CE32" i="20"/>
  <c r="CE41" i="20" s="1"/>
  <c r="CD32" i="20"/>
  <c r="CC32" i="20"/>
  <c r="CB32" i="20"/>
  <c r="CA32" i="20"/>
  <c r="CA41" i="20" s="1"/>
  <c r="BZ32" i="20"/>
  <c r="BZ41" i="20" s="1"/>
  <c r="BY32" i="20"/>
  <c r="BY41" i="20" s="1"/>
  <c r="BX32" i="20"/>
  <c r="BX41" i="20" s="1"/>
  <c r="BW32" i="20"/>
  <c r="BW41" i="20" s="1"/>
  <c r="BV32" i="20"/>
  <c r="BU32" i="20"/>
  <c r="BT32" i="20"/>
  <c r="BS32" i="20"/>
  <c r="BS41" i="20" s="1"/>
  <c r="BR32" i="20"/>
  <c r="BR41" i="20" s="1"/>
  <c r="BQ32" i="20"/>
  <c r="BQ41" i="20" s="1"/>
  <c r="BP32" i="20"/>
  <c r="BP41" i="20" s="1"/>
  <c r="BO32" i="20"/>
  <c r="BO41" i="20" s="1"/>
  <c r="BN32" i="20"/>
  <c r="BM32" i="20"/>
  <c r="BL32" i="20"/>
  <c r="BK32" i="20"/>
  <c r="BK41" i="20" s="1"/>
  <c r="BJ32" i="20"/>
  <c r="BJ41" i="20" s="1"/>
  <c r="BI32" i="20"/>
  <c r="BI41" i="20" s="1"/>
  <c r="BH32" i="20"/>
  <c r="BH41" i="20" s="1"/>
  <c r="BG32" i="20"/>
  <c r="BG41" i="20" s="1"/>
  <c r="BF32" i="20"/>
  <c r="BE32" i="20"/>
  <c r="BD32" i="20"/>
  <c r="BC32" i="20"/>
  <c r="BC41" i="20" s="1"/>
  <c r="BB32" i="20"/>
  <c r="BB41" i="20" s="1"/>
  <c r="BA32" i="20"/>
  <c r="BA41" i="20" s="1"/>
  <c r="AZ32" i="20"/>
  <c r="AZ41" i="20" s="1"/>
  <c r="AY32" i="20"/>
  <c r="AY41" i="20" s="1"/>
  <c r="AX32" i="20"/>
  <c r="AW32" i="20"/>
  <c r="AV32" i="20"/>
  <c r="AU32" i="20"/>
  <c r="AU41" i="20" s="1"/>
  <c r="AT32" i="20"/>
  <c r="AT41" i="20" s="1"/>
  <c r="AS32" i="20"/>
  <c r="AS41" i="20" s="1"/>
  <c r="AR32" i="20"/>
  <c r="AR41" i="20" s="1"/>
  <c r="AQ32" i="20"/>
  <c r="AQ41" i="20" s="1"/>
  <c r="AP32" i="20"/>
  <c r="AO32" i="20"/>
  <c r="AN32" i="20"/>
  <c r="AM32" i="20"/>
  <c r="AM41" i="20" s="1"/>
  <c r="AL32" i="20"/>
  <c r="AL41" i="20" s="1"/>
  <c r="AK32" i="20"/>
  <c r="AK41" i="20" s="1"/>
  <c r="AJ32" i="20"/>
  <c r="AJ41" i="20" s="1"/>
  <c r="AI32" i="20"/>
  <c r="AI41" i="20" s="1"/>
  <c r="AH32" i="20"/>
  <c r="AH41" i="20" s="1"/>
  <c r="AG32" i="20"/>
  <c r="AF32" i="20"/>
  <c r="AE32" i="20"/>
  <c r="AE41" i="20" s="1"/>
  <c r="AD32" i="20"/>
  <c r="AD41" i="20" s="1"/>
  <c r="AC32" i="20"/>
  <c r="AC41" i="20" s="1"/>
  <c r="AB32" i="20"/>
  <c r="AB41" i="20" s="1"/>
  <c r="AA32" i="20"/>
  <c r="AA41" i="20" s="1"/>
  <c r="Z32" i="20"/>
  <c r="Z41" i="20" s="1"/>
  <c r="Y32" i="20"/>
  <c r="X32" i="20"/>
  <c r="W32" i="20"/>
  <c r="W41" i="20" s="1"/>
  <c r="V32" i="20"/>
  <c r="V41" i="20" s="1"/>
  <c r="U32" i="20"/>
  <c r="U41" i="20" s="1"/>
  <c r="T32" i="20"/>
  <c r="T41" i="20" s="1"/>
  <c r="S41" i="20"/>
  <c r="R32" i="20"/>
  <c r="R41" i="20" s="1"/>
  <c r="O41" i="20"/>
  <c r="N41" i="20"/>
  <c r="M41" i="20"/>
  <c r="L41" i="20"/>
  <c r="K41" i="20"/>
  <c r="J41" i="20"/>
  <c r="H58" i="15" l="1"/>
  <c r="P72" i="15"/>
  <c r="X72" i="15"/>
  <c r="AF72" i="15"/>
  <c r="AN72" i="15"/>
  <c r="AV72" i="15"/>
  <c r="BD72" i="15"/>
  <c r="BL72" i="15"/>
  <c r="BT72" i="15"/>
  <c r="CB72" i="15"/>
  <c r="I70" i="15"/>
  <c r="Z70" i="15"/>
  <c r="AH70" i="15"/>
  <c r="AP70" i="15"/>
  <c r="AX70" i="15"/>
  <c r="BF70" i="15"/>
  <c r="BN70" i="15"/>
  <c r="BV70" i="15"/>
  <c r="CD70" i="15"/>
  <c r="R70" i="15"/>
  <c r="K72" i="15"/>
  <c r="T72" i="15"/>
  <c r="AB72" i="15"/>
  <c r="AJ72" i="15"/>
  <c r="AR72" i="15"/>
  <c r="AZ72" i="15"/>
  <c r="BH72" i="15"/>
  <c r="BP72" i="15"/>
  <c r="BX72" i="15"/>
  <c r="CF72" i="15"/>
  <c r="N70" i="15"/>
  <c r="V70" i="15"/>
  <c r="AD70" i="15"/>
  <c r="AL70" i="15"/>
  <c r="AT70" i="15"/>
  <c r="BB70" i="15"/>
  <c r="BJ70" i="15"/>
  <c r="BR70" i="15"/>
  <c r="BZ70" i="15"/>
  <c r="CH70" i="15"/>
  <c r="AC356" i="20"/>
  <c r="AC303" i="20" s="1"/>
  <c r="I72" i="15"/>
  <c r="N72" i="15"/>
  <c r="R72" i="15"/>
  <c r="V72" i="15"/>
  <c r="Z72" i="15"/>
  <c r="AD72" i="15"/>
  <c r="AH72" i="15"/>
  <c r="AL72" i="15"/>
  <c r="AP72" i="15"/>
  <c r="AT72" i="15"/>
  <c r="AX72" i="15"/>
  <c r="BB72" i="15"/>
  <c r="BF72" i="15"/>
  <c r="BJ72" i="15"/>
  <c r="BN72" i="15"/>
  <c r="BR72" i="15"/>
  <c r="BV72" i="15"/>
  <c r="BZ72" i="15"/>
  <c r="CD72" i="15"/>
  <c r="CH72" i="15"/>
  <c r="K70" i="15"/>
  <c r="J70" i="15"/>
  <c r="J72" i="15"/>
  <c r="O72" i="15"/>
  <c r="S72" i="15"/>
  <c r="W72" i="15"/>
  <c r="AA72" i="15"/>
  <c r="AE72" i="15"/>
  <c r="AI72" i="15"/>
  <c r="AM72" i="15"/>
  <c r="AQ72" i="15"/>
  <c r="AU72" i="15"/>
  <c r="AY72" i="15"/>
  <c r="BC72" i="15"/>
  <c r="BG72" i="15"/>
  <c r="BK72" i="15"/>
  <c r="BO72" i="15"/>
  <c r="BS72" i="15"/>
  <c r="BW72" i="15"/>
  <c r="CA72" i="15"/>
  <c r="CE72" i="15"/>
  <c r="CI72" i="15"/>
  <c r="H70" i="15"/>
  <c r="L70" i="15"/>
  <c r="H72" i="15"/>
  <c r="Q72" i="15"/>
  <c r="Y72" i="15"/>
  <c r="AG72" i="15"/>
  <c r="AO72" i="15"/>
  <c r="AW72" i="15"/>
  <c r="BE72" i="15"/>
  <c r="BM72" i="15"/>
  <c r="BU72" i="15"/>
  <c r="CC72" i="15"/>
  <c r="L72" i="15"/>
  <c r="U72" i="15"/>
  <c r="AC72" i="15"/>
  <c r="AK72" i="15"/>
  <c r="AS72" i="15"/>
  <c r="BA72" i="15"/>
  <c r="BI72" i="15"/>
  <c r="BQ72" i="15"/>
  <c r="BY72" i="15"/>
  <c r="CG72" i="15"/>
  <c r="P70" i="15"/>
  <c r="T70" i="15"/>
  <c r="X70" i="15"/>
  <c r="AB70" i="15"/>
  <c r="AF70" i="15"/>
  <c r="AJ70" i="15"/>
  <c r="AN70" i="15"/>
  <c r="AR70" i="15"/>
  <c r="AV70" i="15"/>
  <c r="AZ70" i="15"/>
  <c r="BD70" i="15"/>
  <c r="BH70" i="15"/>
  <c r="BL70" i="15"/>
  <c r="BP70" i="15"/>
  <c r="BT70" i="15"/>
  <c r="BX70" i="15"/>
  <c r="CB70" i="15"/>
  <c r="CF70" i="15"/>
  <c r="Q70" i="15"/>
  <c r="U70" i="15"/>
  <c r="Y70" i="15"/>
  <c r="AC70" i="15"/>
  <c r="AG70" i="15"/>
  <c r="AK70" i="15"/>
  <c r="AO70" i="15"/>
  <c r="AS70" i="15"/>
  <c r="AW70" i="15"/>
  <c r="BA70" i="15"/>
  <c r="BE70" i="15"/>
  <c r="BI70" i="15"/>
  <c r="BM70" i="15"/>
  <c r="BQ70" i="15"/>
  <c r="BU70" i="15"/>
  <c r="BY70" i="15"/>
  <c r="CC70" i="15"/>
  <c r="CG70" i="15"/>
  <c r="O70" i="15"/>
  <c r="S70" i="15"/>
  <c r="W70" i="15"/>
  <c r="AA70" i="15"/>
  <c r="AE70" i="15"/>
  <c r="AI70" i="15"/>
  <c r="AM70" i="15"/>
  <c r="AQ70" i="15"/>
  <c r="AU70" i="15"/>
  <c r="AY70" i="15"/>
  <c r="BC70" i="15"/>
  <c r="BG70" i="15"/>
  <c r="BK70" i="15"/>
  <c r="BO70" i="15"/>
  <c r="BS70" i="15"/>
  <c r="BW70" i="15"/>
  <c r="CA70" i="15"/>
  <c r="CE70" i="15"/>
  <c r="CI70" i="15"/>
  <c r="H71" i="15"/>
  <c r="H80" i="15"/>
  <c r="AV356" i="20"/>
  <c r="AZ356" i="20"/>
  <c r="AZ303" i="20" s="1"/>
  <c r="BD356" i="20"/>
  <c r="BD303" i="20" s="1"/>
  <c r="BH356" i="20"/>
  <c r="BH303" i="20" s="1"/>
  <c r="BL356" i="20"/>
  <c r="BL303" i="20" s="1"/>
  <c r="BP356" i="20"/>
  <c r="BP303" i="20" s="1"/>
  <c r="BT356" i="20"/>
  <c r="BT303" i="20" s="1"/>
  <c r="BX356" i="20"/>
  <c r="BX303" i="20" s="1"/>
  <c r="CB356" i="20"/>
  <c r="CF356" i="20"/>
  <c r="CF303" i="20" s="1"/>
  <c r="I175" i="20"/>
  <c r="M122" i="20"/>
  <c r="H356" i="20"/>
  <c r="H303" i="20" s="1"/>
  <c r="L356" i="20"/>
  <c r="L303" i="20" s="1"/>
  <c r="P356" i="20"/>
  <c r="P303" i="20" s="1"/>
  <c r="T356" i="20"/>
  <c r="T303" i="20" s="1"/>
  <c r="X356" i="20"/>
  <c r="X303" i="20" s="1"/>
  <c r="AB356" i="20"/>
  <c r="AB303" i="20" s="1"/>
  <c r="AF356" i="20"/>
  <c r="AF303" i="20" s="1"/>
  <c r="AJ356" i="20"/>
  <c r="AN356" i="20"/>
  <c r="AN303" i="20" s="1"/>
  <c r="AR356" i="20"/>
  <c r="AR303" i="20" s="1"/>
  <c r="M356" i="20"/>
  <c r="M303" i="20" s="1"/>
  <c r="U356" i="20"/>
  <c r="U303" i="20" s="1"/>
  <c r="AG356" i="20"/>
  <c r="AK356" i="20"/>
  <c r="AK303" i="20" s="1"/>
  <c r="AS356" i="20"/>
  <c r="AS303" i="20" s="1"/>
  <c r="BA356" i="20"/>
  <c r="BA303" i="20" s="1"/>
  <c r="BM356" i="20"/>
  <c r="BM303" i="20" s="1"/>
  <c r="BU356" i="20"/>
  <c r="BU303" i="20" s="1"/>
  <c r="CC356" i="20"/>
  <c r="CC303" i="20" s="1"/>
  <c r="G356" i="20"/>
  <c r="G303" i="20" s="1"/>
  <c r="K356" i="20"/>
  <c r="O356" i="20"/>
  <c r="O303" i="20" s="1"/>
  <c r="S356" i="20"/>
  <c r="S303" i="20" s="1"/>
  <c r="W356" i="20"/>
  <c r="W303" i="20" s="1"/>
  <c r="AA356" i="20"/>
  <c r="AA303" i="20" s="1"/>
  <c r="AE356" i="20"/>
  <c r="AE303" i="20" s="1"/>
  <c r="AI356" i="20"/>
  <c r="AI303" i="20" s="1"/>
  <c r="AM356" i="20"/>
  <c r="AM303" i="20" s="1"/>
  <c r="AQ356" i="20"/>
  <c r="AQ303" i="20" s="1"/>
  <c r="AU356" i="20"/>
  <c r="AU303" i="20" s="1"/>
  <c r="AY356" i="20"/>
  <c r="AY303" i="20" s="1"/>
  <c r="BC356" i="20"/>
  <c r="BG356" i="20"/>
  <c r="BG303" i="20" s="1"/>
  <c r="BK356" i="20"/>
  <c r="BK303" i="20" s="1"/>
  <c r="BO356" i="20"/>
  <c r="BO303" i="20" s="1"/>
  <c r="BS356" i="20"/>
  <c r="BS303" i="20" s="1"/>
  <c r="BW356" i="20"/>
  <c r="BW303" i="20" s="1"/>
  <c r="CA356" i="20"/>
  <c r="CA303" i="20" s="1"/>
  <c r="CE356" i="20"/>
  <c r="CE303" i="20" s="1"/>
  <c r="CI356" i="20"/>
  <c r="CI303" i="20" s="1"/>
  <c r="I356" i="20"/>
  <c r="I303" i="20" s="1"/>
  <c r="Q356" i="20"/>
  <c r="Q303" i="20" s="1"/>
  <c r="Y356" i="20"/>
  <c r="Y303" i="20" s="1"/>
  <c r="AO356" i="20"/>
  <c r="AO303" i="20" s="1"/>
  <c r="AW356" i="20"/>
  <c r="AW303" i="20" s="1"/>
  <c r="BE356" i="20"/>
  <c r="BE303" i="20" s="1"/>
  <c r="BI356" i="20"/>
  <c r="BQ356" i="20"/>
  <c r="BQ303" i="20" s="1"/>
  <c r="BY356" i="20"/>
  <c r="BY303" i="20" s="1"/>
  <c r="CG356" i="20"/>
  <c r="CG303" i="20" s="1"/>
  <c r="J356" i="20"/>
  <c r="J303" i="20" s="1"/>
  <c r="N356" i="20"/>
  <c r="N303" i="20" s="1"/>
  <c r="R356" i="20"/>
  <c r="R303" i="20" s="1"/>
  <c r="V356" i="20"/>
  <c r="V303" i="20" s="1"/>
  <c r="Z356" i="20"/>
  <c r="Z303" i="20" s="1"/>
  <c r="AD356" i="20"/>
  <c r="AH356" i="20"/>
  <c r="AH303" i="20" s="1"/>
  <c r="AL356" i="20"/>
  <c r="AL303" i="20" s="1"/>
  <c r="AP356" i="20"/>
  <c r="AP303" i="20" s="1"/>
  <c r="AT356" i="20"/>
  <c r="AT303" i="20" s="1"/>
  <c r="AX356" i="20"/>
  <c r="AX303" i="20" s="1"/>
  <c r="BB356" i="20"/>
  <c r="BB303" i="20" s="1"/>
  <c r="BF356" i="20"/>
  <c r="BF303" i="20" s="1"/>
  <c r="BJ356" i="20"/>
  <c r="BJ303" i="20" s="1"/>
  <c r="BN356" i="20"/>
  <c r="BN303" i="20" s="1"/>
  <c r="BR356" i="20"/>
  <c r="BR303" i="20" s="1"/>
  <c r="BV356" i="20"/>
  <c r="BV303" i="20" s="1"/>
  <c r="BZ356" i="20"/>
  <c r="BZ303" i="20" s="1"/>
  <c r="CD356" i="20"/>
  <c r="CD303" i="20" s="1"/>
  <c r="CH356" i="20"/>
  <c r="CH303" i="20" s="1"/>
  <c r="U175" i="20"/>
  <c r="AK175" i="20"/>
  <c r="AW175" i="20"/>
  <c r="BI175" i="20"/>
  <c r="BY175" i="20"/>
  <c r="BY74" i="15" s="1"/>
  <c r="H175" i="20"/>
  <c r="L175" i="20"/>
  <c r="P175" i="20"/>
  <c r="P74" i="15" s="1"/>
  <c r="T175" i="20"/>
  <c r="X175" i="20"/>
  <c r="X74" i="15" s="1"/>
  <c r="AB175" i="20"/>
  <c r="AF175" i="20"/>
  <c r="AJ175" i="20"/>
  <c r="AJ74" i="15" s="1"/>
  <c r="AN175" i="20"/>
  <c r="AR175" i="20"/>
  <c r="AR74" i="15" s="1"/>
  <c r="AV175" i="20"/>
  <c r="AZ175" i="20"/>
  <c r="BD175" i="20"/>
  <c r="BH175" i="20"/>
  <c r="BL175" i="20"/>
  <c r="BL74" i="15" s="1"/>
  <c r="BP175" i="20"/>
  <c r="BT175" i="20"/>
  <c r="BX175" i="20"/>
  <c r="CB175" i="20"/>
  <c r="CB74" i="15" s="1"/>
  <c r="CF175" i="20"/>
  <c r="AC175" i="20"/>
  <c r="Q175" i="20"/>
  <c r="AG175" i="20"/>
  <c r="BA175" i="20"/>
  <c r="BM175" i="20"/>
  <c r="BM74" i="15" s="1"/>
  <c r="CG175" i="20"/>
  <c r="CG74" i="15" s="1"/>
  <c r="J175" i="20"/>
  <c r="N175" i="20"/>
  <c r="R175" i="20"/>
  <c r="V175" i="20"/>
  <c r="Z175" i="20"/>
  <c r="AD175" i="20"/>
  <c r="AH175" i="20"/>
  <c r="AH74" i="15" s="1"/>
  <c r="AL175" i="20"/>
  <c r="AP175" i="20"/>
  <c r="AP74" i="15" s="1"/>
  <c r="AT175" i="20"/>
  <c r="AX175" i="20"/>
  <c r="BB175" i="20"/>
  <c r="BB74" i="15" s="1"/>
  <c r="BF175" i="20"/>
  <c r="BJ175" i="20"/>
  <c r="BJ74" i="15" s="1"/>
  <c r="BN175" i="20"/>
  <c r="BR175" i="20"/>
  <c r="BV175" i="20"/>
  <c r="BZ175" i="20"/>
  <c r="CD175" i="20"/>
  <c r="CH175" i="20"/>
  <c r="Y175" i="20"/>
  <c r="AO175" i="20"/>
  <c r="AS175" i="20"/>
  <c r="BE175" i="20"/>
  <c r="BE74" i="15" s="1"/>
  <c r="BQ175" i="20"/>
  <c r="BU175" i="20"/>
  <c r="CC175" i="20"/>
  <c r="K175" i="20"/>
  <c r="K74" i="15" s="1"/>
  <c r="O175" i="20"/>
  <c r="S175" i="20"/>
  <c r="W175" i="20"/>
  <c r="W74" i="15" s="1"/>
  <c r="AA175" i="20"/>
  <c r="AE175" i="20"/>
  <c r="AE74" i="15" s="1"/>
  <c r="AI175" i="20"/>
  <c r="AM175" i="20"/>
  <c r="AQ175" i="20"/>
  <c r="AQ74" i="15" s="1"/>
  <c r="AU175" i="20"/>
  <c r="AY175" i="20"/>
  <c r="BC175" i="20"/>
  <c r="BG175" i="20"/>
  <c r="BK175" i="20"/>
  <c r="BO175" i="20"/>
  <c r="BS175" i="20"/>
  <c r="BW175" i="20"/>
  <c r="BW74" i="15" s="1"/>
  <c r="CA175" i="20"/>
  <c r="CE175" i="20"/>
  <c r="CI175" i="20"/>
  <c r="CI74" i="15" s="1"/>
  <c r="L69" i="15"/>
  <c r="T69" i="15"/>
  <c r="AB69" i="15"/>
  <c r="AJ69" i="15"/>
  <c r="AN69" i="15"/>
  <c r="AV69" i="15"/>
  <c r="BD69" i="15"/>
  <c r="BL69" i="15"/>
  <c r="BP69" i="15"/>
  <c r="BX69" i="15"/>
  <c r="CF69" i="15"/>
  <c r="J69" i="15"/>
  <c r="R69" i="15"/>
  <c r="V69" i="15"/>
  <c r="AD69" i="15"/>
  <c r="AH69" i="15"/>
  <c r="AP69" i="15"/>
  <c r="AT69" i="15"/>
  <c r="AX69" i="15"/>
  <c r="BF69" i="15"/>
  <c r="BJ69" i="15"/>
  <c r="BR69" i="15"/>
  <c r="BV69" i="15"/>
  <c r="BZ69" i="15"/>
  <c r="CH69" i="15"/>
  <c r="K69" i="15"/>
  <c r="O69" i="15"/>
  <c r="S69" i="15"/>
  <c r="W69" i="15"/>
  <c r="AA69" i="15"/>
  <c r="AE69" i="15"/>
  <c r="AI69" i="15"/>
  <c r="AM69" i="15"/>
  <c r="AQ69" i="15"/>
  <c r="AU69" i="15"/>
  <c r="AY69" i="15"/>
  <c r="BC69" i="15"/>
  <c r="BG69" i="15"/>
  <c r="BK69" i="15"/>
  <c r="BO69" i="15"/>
  <c r="BS69" i="15"/>
  <c r="BW69" i="15"/>
  <c r="CA69" i="15"/>
  <c r="CE69" i="15"/>
  <c r="CI69" i="15"/>
  <c r="P69" i="15"/>
  <c r="AF69" i="15"/>
  <c r="AR69" i="15"/>
  <c r="AZ69" i="15"/>
  <c r="BH69" i="15"/>
  <c r="BT69" i="15"/>
  <c r="CB69" i="15"/>
  <c r="I69" i="15"/>
  <c r="M69" i="15"/>
  <c r="Q69" i="15"/>
  <c r="U69" i="15"/>
  <c r="Y69" i="15"/>
  <c r="AC69" i="15"/>
  <c r="AG69" i="15"/>
  <c r="AK69" i="15"/>
  <c r="AO69" i="15"/>
  <c r="AS69" i="15"/>
  <c r="AW69" i="15"/>
  <c r="BA69" i="15"/>
  <c r="BE69" i="15"/>
  <c r="BI69" i="15"/>
  <c r="BM69" i="15"/>
  <c r="BQ69" i="15"/>
  <c r="BU69" i="15"/>
  <c r="BY69" i="15"/>
  <c r="CC69" i="15"/>
  <c r="CG69" i="15"/>
  <c r="H69" i="15"/>
  <c r="X69" i="15"/>
  <c r="N69" i="15"/>
  <c r="Z69" i="15"/>
  <c r="AL69" i="15"/>
  <c r="BB69" i="15"/>
  <c r="BN69" i="15"/>
  <c r="CD69" i="15"/>
  <c r="J42" i="20"/>
  <c r="J64" i="15" s="1"/>
  <c r="J63" i="15"/>
  <c r="AB42" i="20"/>
  <c r="AB64" i="15" s="1"/>
  <c r="AB63" i="15"/>
  <c r="AR42" i="20"/>
  <c r="AR64" i="15" s="1"/>
  <c r="AR63" i="15"/>
  <c r="BH42" i="20"/>
  <c r="BH64" i="15" s="1"/>
  <c r="BH63" i="15"/>
  <c r="AC42" i="20"/>
  <c r="AC64" i="15" s="1"/>
  <c r="AC63" i="15"/>
  <c r="L26" i="19"/>
  <c r="P26" i="19"/>
  <c r="AJ42" i="20"/>
  <c r="AJ64" i="15" s="1"/>
  <c r="AJ63" i="15"/>
  <c r="CF42" i="20"/>
  <c r="CF64" i="15" s="1"/>
  <c r="CF63" i="15"/>
  <c r="K26" i="19"/>
  <c r="U42" i="20"/>
  <c r="U64" i="15" s="1"/>
  <c r="U63" i="15"/>
  <c r="BA42" i="20"/>
  <c r="BA64" i="15" s="1"/>
  <c r="BA63" i="15"/>
  <c r="BY42" i="20"/>
  <c r="BY64" i="15" s="1"/>
  <c r="BY63" i="15"/>
  <c r="V42" i="20"/>
  <c r="V64" i="15" s="1"/>
  <c r="V63" i="15"/>
  <c r="AH42" i="20"/>
  <c r="AH64" i="15" s="1"/>
  <c r="AH63" i="15"/>
  <c r="CH42" i="20"/>
  <c r="CH64" i="15" s="1"/>
  <c r="CH63" i="15"/>
  <c r="M26" i="19"/>
  <c r="T42" i="20"/>
  <c r="T64" i="15" s="1"/>
  <c r="T63" i="15"/>
  <c r="AZ42" i="20"/>
  <c r="AZ64" i="15" s="1"/>
  <c r="AZ63" i="15"/>
  <c r="BP42" i="20"/>
  <c r="BP64" i="15" s="1"/>
  <c r="BP63" i="15"/>
  <c r="BX42" i="20"/>
  <c r="BX64" i="15" s="1"/>
  <c r="BX63" i="15"/>
  <c r="K42" i="20"/>
  <c r="K64" i="15" s="1"/>
  <c r="K63" i="15"/>
  <c r="AK42" i="20"/>
  <c r="AK64" i="15" s="1"/>
  <c r="AK63" i="15"/>
  <c r="AS42" i="20"/>
  <c r="AS64" i="15" s="1"/>
  <c r="AS63" i="15"/>
  <c r="BI42" i="20"/>
  <c r="BI64" i="15" s="1"/>
  <c r="BI63" i="15"/>
  <c r="BQ42" i="20"/>
  <c r="BQ64" i="15" s="1"/>
  <c r="BQ63" i="15"/>
  <c r="CG42" i="20"/>
  <c r="CG64" i="15" s="1"/>
  <c r="CG63" i="15"/>
  <c r="R42" i="20"/>
  <c r="R64" i="15" s="1"/>
  <c r="R63" i="15"/>
  <c r="Z42" i="20"/>
  <c r="Z64" i="15" s="1"/>
  <c r="Z63" i="15"/>
  <c r="AD42" i="20"/>
  <c r="AD64" i="15" s="1"/>
  <c r="AD63" i="15"/>
  <c r="AL42" i="20"/>
  <c r="AL64" i="15" s="1"/>
  <c r="AL63" i="15"/>
  <c r="AT42" i="20"/>
  <c r="AT64" i="15" s="1"/>
  <c r="AT63" i="15"/>
  <c r="BB42" i="20"/>
  <c r="BB64" i="15" s="1"/>
  <c r="BB63" i="15"/>
  <c r="BJ42" i="20"/>
  <c r="BJ64" i="15" s="1"/>
  <c r="BJ63" i="15"/>
  <c r="BR42" i="20"/>
  <c r="BR64" i="15" s="1"/>
  <c r="BR63" i="15"/>
  <c r="BZ42" i="20"/>
  <c r="BZ64" i="15" s="1"/>
  <c r="BZ63" i="15"/>
  <c r="S42" i="20"/>
  <c r="S64" i="15" s="1"/>
  <c r="S63" i="15"/>
  <c r="W42" i="20"/>
  <c r="W89" i="20" s="1"/>
  <c r="W91" i="20" s="1"/>
  <c r="W65" i="15" s="1"/>
  <c r="W63" i="15"/>
  <c r="AA42" i="20"/>
  <c r="AA64" i="15" s="1"/>
  <c r="AA63" i="15"/>
  <c r="AE42" i="20"/>
  <c r="AE89" i="20" s="1"/>
  <c r="AE91" i="20" s="1"/>
  <c r="AE65" i="15" s="1"/>
  <c r="AE63" i="15"/>
  <c r="AI42" i="20"/>
  <c r="AI64" i="15" s="1"/>
  <c r="AI63" i="15"/>
  <c r="AM42" i="20"/>
  <c r="AM89" i="20" s="1"/>
  <c r="AM91" i="20" s="1"/>
  <c r="AM65" i="15" s="1"/>
  <c r="AM63" i="15"/>
  <c r="AQ42" i="20"/>
  <c r="AQ64" i="15" s="1"/>
  <c r="AQ63" i="15"/>
  <c r="AU42" i="20"/>
  <c r="AU89" i="20" s="1"/>
  <c r="AU91" i="20" s="1"/>
  <c r="AU65" i="15" s="1"/>
  <c r="AU63" i="15"/>
  <c r="AY42" i="20"/>
  <c r="AY64" i="15" s="1"/>
  <c r="AY63" i="15"/>
  <c r="BC42" i="20"/>
  <c r="BC89" i="20" s="1"/>
  <c r="BC91" i="20" s="1"/>
  <c r="BC65" i="15" s="1"/>
  <c r="BC63" i="15"/>
  <c r="BG42" i="20"/>
  <c r="BG64" i="15" s="1"/>
  <c r="BG63" i="15"/>
  <c r="BK42" i="20"/>
  <c r="BK89" i="20" s="1"/>
  <c r="BK91" i="20" s="1"/>
  <c r="BK65" i="15" s="1"/>
  <c r="BK63" i="15"/>
  <c r="BO42" i="20"/>
  <c r="BO64" i="15" s="1"/>
  <c r="BO63" i="15"/>
  <c r="BS42" i="20"/>
  <c r="BS89" i="20" s="1"/>
  <c r="BS91" i="20" s="1"/>
  <c r="BS65" i="15" s="1"/>
  <c r="BS63" i="15"/>
  <c r="BW42" i="20"/>
  <c r="BW64" i="15" s="1"/>
  <c r="BW63" i="15"/>
  <c r="CA42" i="20"/>
  <c r="CA89" i="20" s="1"/>
  <c r="CA91" i="20" s="1"/>
  <c r="CA65" i="15" s="1"/>
  <c r="CA63" i="15"/>
  <c r="CE42" i="20"/>
  <c r="CE64" i="15" s="1"/>
  <c r="CE63" i="15"/>
  <c r="CI42" i="20"/>
  <c r="CI89" i="20" s="1"/>
  <c r="CI91" i="20" s="1"/>
  <c r="CI65" i="15" s="1"/>
  <c r="CI63" i="15"/>
  <c r="N26" i="19"/>
  <c r="AO43" i="15"/>
  <c r="N42" i="20"/>
  <c r="N64" i="15" s="1"/>
  <c r="N63" i="15"/>
  <c r="O42" i="20"/>
  <c r="O89" i="20" s="1"/>
  <c r="O91" i="20" s="1"/>
  <c r="O65" i="15" s="1"/>
  <c r="O63" i="15"/>
  <c r="M42" i="20"/>
  <c r="M64" i="15" s="1"/>
  <c r="M63" i="15"/>
  <c r="L42" i="20"/>
  <c r="L64" i="15" s="1"/>
  <c r="L63" i="15"/>
  <c r="M371" i="20"/>
  <c r="M372" i="20" s="1"/>
  <c r="M374" i="20" s="1"/>
  <c r="M60" i="15"/>
  <c r="U371" i="20"/>
  <c r="U372" i="20" s="1"/>
  <c r="U374" i="20" s="1"/>
  <c r="U60" i="15"/>
  <c r="AC371" i="20"/>
  <c r="AC372" i="20" s="1"/>
  <c r="AC374" i="20" s="1"/>
  <c r="AC60" i="15"/>
  <c r="AK371" i="20"/>
  <c r="AK372" i="20" s="1"/>
  <c r="AK374" i="20" s="1"/>
  <c r="AK60" i="15"/>
  <c r="AS371" i="20"/>
  <c r="AS372" i="20" s="1"/>
  <c r="AS374" i="20" s="1"/>
  <c r="AS60" i="15"/>
  <c r="BA371" i="20"/>
  <c r="BA372" i="20" s="1"/>
  <c r="BA374" i="20" s="1"/>
  <c r="BA60" i="15"/>
  <c r="BI371" i="20"/>
  <c r="BI372" i="20" s="1"/>
  <c r="BI374" i="20" s="1"/>
  <c r="BI60" i="15"/>
  <c r="BQ371" i="20"/>
  <c r="BQ372" i="20" s="1"/>
  <c r="BQ374" i="20" s="1"/>
  <c r="BQ60" i="15"/>
  <c r="BY371" i="20"/>
  <c r="BY372" i="20" s="1"/>
  <c r="BY374" i="20" s="1"/>
  <c r="BY60" i="15"/>
  <c r="CG371" i="20"/>
  <c r="CG372" i="20" s="1"/>
  <c r="CG374" i="20" s="1"/>
  <c r="CG60" i="15"/>
  <c r="L24" i="20"/>
  <c r="L61" i="15"/>
  <c r="T24" i="20"/>
  <c r="T61" i="15"/>
  <c r="AB24" i="20"/>
  <c r="AB61" i="15"/>
  <c r="AJ24" i="20"/>
  <c r="AJ61" i="15"/>
  <c r="AR24" i="20"/>
  <c r="AR61" i="15"/>
  <c r="AZ24" i="20"/>
  <c r="AZ61" i="15"/>
  <c r="BH24" i="20"/>
  <c r="BH61" i="15"/>
  <c r="BP24" i="20"/>
  <c r="BP61" i="15"/>
  <c r="BX24" i="20"/>
  <c r="BX61" i="15"/>
  <c r="CB24" i="20"/>
  <c r="CB61" i="15"/>
  <c r="J371" i="20"/>
  <c r="J372" i="20" s="1"/>
  <c r="J374" i="20" s="1"/>
  <c r="J60" i="15"/>
  <c r="R371" i="20"/>
  <c r="R372" i="20" s="1"/>
  <c r="R374" i="20" s="1"/>
  <c r="R60" i="15"/>
  <c r="Z371" i="20"/>
  <c r="Z372" i="20" s="1"/>
  <c r="Z374" i="20" s="1"/>
  <c r="Z60" i="15"/>
  <c r="AH371" i="20"/>
  <c r="AH372" i="20" s="1"/>
  <c r="AH374" i="20" s="1"/>
  <c r="AH60" i="15"/>
  <c r="AP371" i="20"/>
  <c r="AP372" i="20" s="1"/>
  <c r="AP374" i="20" s="1"/>
  <c r="AP60" i="15"/>
  <c r="AX371" i="20"/>
  <c r="AX372" i="20" s="1"/>
  <c r="AX374" i="20" s="1"/>
  <c r="AX60" i="15"/>
  <c r="BF371" i="20"/>
  <c r="BF372" i="20" s="1"/>
  <c r="BF374" i="20" s="1"/>
  <c r="BF60" i="15"/>
  <c r="BN371" i="20"/>
  <c r="BN60" i="15"/>
  <c r="BV371" i="20"/>
  <c r="BV372" i="20" s="1"/>
  <c r="BV374" i="20" s="1"/>
  <c r="BV60" i="15"/>
  <c r="CD371" i="20"/>
  <c r="CD372" i="20" s="1"/>
  <c r="CD374" i="20" s="1"/>
  <c r="CD60" i="15"/>
  <c r="M24" i="20"/>
  <c r="M61" i="15"/>
  <c r="U24" i="20"/>
  <c r="U61" i="15"/>
  <c r="AC24" i="20"/>
  <c r="AC61" i="15"/>
  <c r="AK24" i="20"/>
  <c r="AK61" i="15"/>
  <c r="AS24" i="20"/>
  <c r="AS61" i="15"/>
  <c r="BA24" i="20"/>
  <c r="BA61" i="15"/>
  <c r="BI24" i="20"/>
  <c r="BI61" i="15"/>
  <c r="BQ24" i="20"/>
  <c r="BQ61" i="15"/>
  <c r="BY24" i="20"/>
  <c r="BY61" i="15"/>
  <c r="CC24" i="20"/>
  <c r="CC61" i="15"/>
  <c r="W371" i="20"/>
  <c r="W372" i="20" s="1"/>
  <c r="W374" i="20" s="1"/>
  <c r="W60" i="15"/>
  <c r="AE371" i="20"/>
  <c r="AE372" i="20" s="1"/>
  <c r="AE374" i="20" s="1"/>
  <c r="AE60" i="15"/>
  <c r="AU371" i="20"/>
  <c r="AU372" i="20" s="1"/>
  <c r="AU374" i="20" s="1"/>
  <c r="AU60" i="15"/>
  <c r="BC371" i="20"/>
  <c r="BC372" i="20" s="1"/>
  <c r="BC374" i="20" s="1"/>
  <c r="BC60" i="15"/>
  <c r="BK371" i="20"/>
  <c r="BK372" i="20" s="1"/>
  <c r="BK374" i="20" s="1"/>
  <c r="BK60" i="15"/>
  <c r="BS371" i="20"/>
  <c r="BS372" i="20" s="1"/>
  <c r="BS374" i="20" s="1"/>
  <c r="BS60" i="15"/>
  <c r="N24" i="20"/>
  <c r="N61" i="15"/>
  <c r="Z24" i="20"/>
  <c r="Z61" i="15"/>
  <c r="AH24" i="20"/>
  <c r="AH61" i="15"/>
  <c r="AP24" i="20"/>
  <c r="AP61" i="15"/>
  <c r="AT24" i="20"/>
  <c r="AT61" i="15"/>
  <c r="BB24" i="20"/>
  <c r="BB61" i="15"/>
  <c r="BF24" i="20"/>
  <c r="BF61" i="15"/>
  <c r="BJ24" i="20"/>
  <c r="BJ61" i="15"/>
  <c r="BN24" i="20"/>
  <c r="BN61" i="15"/>
  <c r="BV24" i="20"/>
  <c r="BV61" i="15"/>
  <c r="BZ24" i="20"/>
  <c r="BZ61" i="15"/>
  <c r="CD24" i="20"/>
  <c r="CD61" i="15"/>
  <c r="CH24" i="20"/>
  <c r="CH61" i="15"/>
  <c r="I371" i="20"/>
  <c r="I372" i="20" s="1"/>
  <c r="I374" i="20" s="1"/>
  <c r="I60" i="15"/>
  <c r="Q371" i="20"/>
  <c r="Q372" i="20" s="1"/>
  <c r="Q374" i="20" s="1"/>
  <c r="Q60" i="15"/>
  <c r="Y371" i="20"/>
  <c r="Y372" i="20" s="1"/>
  <c r="Y374" i="20" s="1"/>
  <c r="Y60" i="15"/>
  <c r="AG371" i="20"/>
  <c r="AG372" i="20" s="1"/>
  <c r="AG374" i="20" s="1"/>
  <c r="AG60" i="15"/>
  <c r="AO371" i="20"/>
  <c r="AO372" i="20" s="1"/>
  <c r="AO374" i="20" s="1"/>
  <c r="AO60" i="15"/>
  <c r="AW371" i="20"/>
  <c r="AW372" i="20" s="1"/>
  <c r="AW374" i="20" s="1"/>
  <c r="AW60" i="15"/>
  <c r="BE371" i="20"/>
  <c r="BE372" i="20" s="1"/>
  <c r="BE374" i="20" s="1"/>
  <c r="BE60" i="15"/>
  <c r="BM371" i="20"/>
  <c r="BM372" i="20" s="1"/>
  <c r="BM374" i="20" s="1"/>
  <c r="BM60" i="15"/>
  <c r="BU371" i="20"/>
  <c r="BU372" i="20" s="1"/>
  <c r="BU374" i="20" s="1"/>
  <c r="BU60" i="15"/>
  <c r="CC371" i="20"/>
  <c r="CC372" i="20" s="1"/>
  <c r="CC374" i="20" s="1"/>
  <c r="CC60" i="15"/>
  <c r="H24" i="20"/>
  <c r="H61" i="15"/>
  <c r="P24" i="20"/>
  <c r="P61" i="15"/>
  <c r="X24" i="20"/>
  <c r="X61" i="15"/>
  <c r="AF24" i="20"/>
  <c r="AF61" i="15"/>
  <c r="AN24" i="20"/>
  <c r="AN61" i="15"/>
  <c r="AV24" i="20"/>
  <c r="AV61" i="15"/>
  <c r="BD24" i="20"/>
  <c r="BD61" i="15"/>
  <c r="BL24" i="20"/>
  <c r="BL61" i="15"/>
  <c r="BT24" i="20"/>
  <c r="BT61" i="15"/>
  <c r="CF24" i="20"/>
  <c r="CF61" i="15"/>
  <c r="N371" i="20"/>
  <c r="N372" i="20" s="1"/>
  <c r="N374" i="20" s="1"/>
  <c r="N60" i="15"/>
  <c r="V371" i="20"/>
  <c r="V372" i="20" s="1"/>
  <c r="V374" i="20" s="1"/>
  <c r="V60" i="15"/>
  <c r="AD371" i="20"/>
  <c r="AD372" i="20" s="1"/>
  <c r="AD374" i="20" s="1"/>
  <c r="AD60" i="15"/>
  <c r="AL371" i="20"/>
  <c r="AL372" i="20" s="1"/>
  <c r="AL374" i="20" s="1"/>
  <c r="AL60" i="15"/>
  <c r="AT371" i="20"/>
  <c r="AT372" i="20" s="1"/>
  <c r="AT374" i="20" s="1"/>
  <c r="AT60" i="15"/>
  <c r="BB371" i="20"/>
  <c r="BB372" i="20" s="1"/>
  <c r="BB374" i="20" s="1"/>
  <c r="BB60" i="15"/>
  <c r="BJ371" i="20"/>
  <c r="BJ372" i="20" s="1"/>
  <c r="BJ374" i="20" s="1"/>
  <c r="BJ60" i="15"/>
  <c r="BR371" i="20"/>
  <c r="BR372" i="20" s="1"/>
  <c r="BR374" i="20" s="1"/>
  <c r="BR60" i="15"/>
  <c r="BZ371" i="20"/>
  <c r="BZ372" i="20" s="1"/>
  <c r="BZ374" i="20" s="1"/>
  <c r="BZ60" i="15"/>
  <c r="CH371" i="20"/>
  <c r="CH60" i="15"/>
  <c r="I24" i="20"/>
  <c r="I61" i="15"/>
  <c r="Q24" i="20"/>
  <c r="Q61" i="15"/>
  <c r="Y24" i="20"/>
  <c r="Y61" i="15"/>
  <c r="AG24" i="20"/>
  <c r="AG61" i="15"/>
  <c r="AO24" i="20"/>
  <c r="AO61" i="15"/>
  <c r="AW24" i="20"/>
  <c r="AW61" i="15"/>
  <c r="BE24" i="20"/>
  <c r="BE61" i="15"/>
  <c r="BM24" i="20"/>
  <c r="BM61" i="15"/>
  <c r="BU24" i="20"/>
  <c r="BU61" i="15"/>
  <c r="CG24" i="20"/>
  <c r="CG61" i="15"/>
  <c r="O371" i="20"/>
  <c r="O372" i="20" s="1"/>
  <c r="O374" i="20" s="1"/>
  <c r="O60" i="15"/>
  <c r="AM371" i="20"/>
  <c r="AM372" i="20" s="1"/>
  <c r="AM374" i="20" s="1"/>
  <c r="AM60" i="15"/>
  <c r="CA371" i="20"/>
  <c r="CA372" i="20" s="1"/>
  <c r="CA374" i="20" s="1"/>
  <c r="CA60" i="15"/>
  <c r="CI371" i="20"/>
  <c r="CI372" i="20" s="1"/>
  <c r="CI374" i="20" s="1"/>
  <c r="CI60" i="15"/>
  <c r="J24" i="20"/>
  <c r="J61" i="15"/>
  <c r="R24" i="20"/>
  <c r="R61" i="15"/>
  <c r="V24" i="20"/>
  <c r="V61" i="15"/>
  <c r="AD24" i="20"/>
  <c r="AD61" i="15"/>
  <c r="AL24" i="20"/>
  <c r="AL61" i="15"/>
  <c r="AX24" i="20"/>
  <c r="AX61" i="15"/>
  <c r="BR24" i="20"/>
  <c r="BR61" i="15"/>
  <c r="H371" i="20"/>
  <c r="H372" i="20" s="1"/>
  <c r="H374" i="20" s="1"/>
  <c r="H60" i="15"/>
  <c r="L371" i="20"/>
  <c r="L372" i="20" s="1"/>
  <c r="L374" i="20" s="1"/>
  <c r="L60" i="15"/>
  <c r="P371" i="20"/>
  <c r="P372" i="20" s="1"/>
  <c r="P374" i="20" s="1"/>
  <c r="P60" i="15"/>
  <c r="T371" i="20"/>
  <c r="T372" i="20" s="1"/>
  <c r="T374" i="20" s="1"/>
  <c r="T60" i="15"/>
  <c r="X371" i="20"/>
  <c r="X372" i="20" s="1"/>
  <c r="X374" i="20" s="1"/>
  <c r="X60" i="15"/>
  <c r="AB371" i="20"/>
  <c r="AB372" i="20" s="1"/>
  <c r="AB374" i="20" s="1"/>
  <c r="AB60" i="15"/>
  <c r="AF371" i="20"/>
  <c r="AF372" i="20" s="1"/>
  <c r="AF374" i="20" s="1"/>
  <c r="AF60" i="15"/>
  <c r="AJ371" i="20"/>
  <c r="AJ372" i="20" s="1"/>
  <c r="AJ374" i="20" s="1"/>
  <c r="AJ60" i="15"/>
  <c r="AN371" i="20"/>
  <c r="AN372" i="20" s="1"/>
  <c r="AN374" i="20" s="1"/>
  <c r="AN60" i="15"/>
  <c r="AR371" i="20"/>
  <c r="AR372" i="20" s="1"/>
  <c r="AR374" i="20" s="1"/>
  <c r="AR60" i="15"/>
  <c r="AV371" i="20"/>
  <c r="AV372" i="20" s="1"/>
  <c r="AV374" i="20" s="1"/>
  <c r="AV60" i="15"/>
  <c r="AZ371" i="20"/>
  <c r="AZ372" i="20" s="1"/>
  <c r="AZ374" i="20" s="1"/>
  <c r="AZ60" i="15"/>
  <c r="BD371" i="20"/>
  <c r="BD372" i="20" s="1"/>
  <c r="BD374" i="20" s="1"/>
  <c r="BD60" i="15"/>
  <c r="BH371" i="20"/>
  <c r="BH372" i="20" s="1"/>
  <c r="BH374" i="20" s="1"/>
  <c r="BH60" i="15"/>
  <c r="BL371" i="20"/>
  <c r="BL372" i="20" s="1"/>
  <c r="BL374" i="20" s="1"/>
  <c r="BL60" i="15"/>
  <c r="BP371" i="20"/>
  <c r="BP372" i="20" s="1"/>
  <c r="BP374" i="20" s="1"/>
  <c r="BP60" i="15"/>
  <c r="BT371" i="20"/>
  <c r="BT372" i="20" s="1"/>
  <c r="BT374" i="20" s="1"/>
  <c r="BT60" i="15"/>
  <c r="BX371" i="20"/>
  <c r="BX372" i="20" s="1"/>
  <c r="BX374" i="20" s="1"/>
  <c r="BX60" i="15"/>
  <c r="CB371" i="20"/>
  <c r="CB372" i="20" s="1"/>
  <c r="CB374" i="20" s="1"/>
  <c r="CB60" i="15"/>
  <c r="CF371" i="20"/>
  <c r="CF372" i="20" s="1"/>
  <c r="CF374" i="20" s="1"/>
  <c r="CF60" i="15"/>
  <c r="K24" i="20"/>
  <c r="K61" i="15"/>
  <c r="O24" i="20"/>
  <c r="O61" i="15"/>
  <c r="S24" i="20"/>
  <c r="S61" i="15"/>
  <c r="W24" i="20"/>
  <c r="W61" i="15"/>
  <c r="AA24" i="20"/>
  <c r="AA61" i="15"/>
  <c r="AE24" i="20"/>
  <c r="AE61" i="15"/>
  <c r="AI24" i="20"/>
  <c r="AI61" i="15"/>
  <c r="AM24" i="20"/>
  <c r="AM61" i="15"/>
  <c r="AQ24" i="20"/>
  <c r="AQ61" i="15"/>
  <c r="AU24" i="20"/>
  <c r="AU61" i="15"/>
  <c r="AY24" i="20"/>
  <c r="AY61" i="15"/>
  <c r="BC24" i="20"/>
  <c r="BC61" i="15"/>
  <c r="BG24" i="20"/>
  <c r="BG61" i="15"/>
  <c r="BK24" i="20"/>
  <c r="BK61" i="15"/>
  <c r="BO24" i="20"/>
  <c r="BO61" i="15"/>
  <c r="BS24" i="20"/>
  <c r="BS61" i="15"/>
  <c r="BW24" i="20"/>
  <c r="BW61" i="15"/>
  <c r="CA24" i="20"/>
  <c r="CA61" i="15"/>
  <c r="CE24" i="20"/>
  <c r="CE61" i="15"/>
  <c r="CI24" i="20"/>
  <c r="CI61" i="15"/>
  <c r="K312" i="20"/>
  <c r="AM312" i="20"/>
  <c r="G320" i="20"/>
  <c r="AV321" i="20"/>
  <c r="BD321" i="20"/>
  <c r="CB321" i="20"/>
  <c r="O322" i="20"/>
  <c r="W322" i="20"/>
  <c r="AE322" i="20"/>
  <c r="CA322" i="20"/>
  <c r="AF321" i="20"/>
  <c r="AM322" i="20"/>
  <c r="BK322" i="20"/>
  <c r="CI322" i="20"/>
  <c r="O26" i="19"/>
  <c r="AQ31" i="20"/>
  <c r="AQ128" i="20" s="1"/>
  <c r="AQ131" i="20" s="1"/>
  <c r="AQ76" i="15" s="1"/>
  <c r="BW31" i="20"/>
  <c r="AP212" i="20"/>
  <c r="AP309" i="20" s="1"/>
  <c r="AP312" i="20" s="1"/>
  <c r="AP313" i="20" s="1"/>
  <c r="BG31" i="20"/>
  <c r="CE31" i="20"/>
  <c r="AO212" i="20"/>
  <c r="AO309" i="20" s="1"/>
  <c r="AO312" i="20" s="1"/>
  <c r="AO313" i="20" s="1"/>
  <c r="CG31" i="20"/>
  <c r="K31" i="20"/>
  <c r="K128" i="20" s="1"/>
  <c r="K131" i="20" s="1"/>
  <c r="K76" i="15" s="1"/>
  <c r="S31" i="20"/>
  <c r="S128" i="20" s="1"/>
  <c r="S131" i="20" s="1"/>
  <c r="S76" i="15" s="1"/>
  <c r="U31" i="20"/>
  <c r="BU212" i="20"/>
  <c r="AA31" i="20"/>
  <c r="AA128" i="20" s="1"/>
  <c r="AA131" i="20" s="1"/>
  <c r="J212" i="20"/>
  <c r="J309" i="20" s="1"/>
  <c r="J312" i="20" s="1"/>
  <c r="AZ212" i="20"/>
  <c r="AY31" i="20"/>
  <c r="BE212" i="20"/>
  <c r="BA31" i="20"/>
  <c r="I212" i="20"/>
  <c r="I309" i="20" s="1"/>
  <c r="I312" i="20" s="1"/>
  <c r="I313" i="20" s="1"/>
  <c r="BM212" i="20"/>
  <c r="BP212" i="20"/>
  <c r="T212" i="20"/>
  <c r="T309" i="20" s="1"/>
  <c r="T312" i="20" s="1"/>
  <c r="T313" i="20" s="1"/>
  <c r="Y212" i="20"/>
  <c r="Y309" i="20" s="1"/>
  <c r="Y312" i="20" s="1"/>
  <c r="Y313" i="20" s="1"/>
  <c r="CC212" i="20"/>
  <c r="AC31" i="20"/>
  <c r="AC128" i="20" s="1"/>
  <c r="AC131" i="20" s="1"/>
  <c r="BI31" i="20"/>
  <c r="AQ396" i="20"/>
  <c r="BO396" i="20"/>
  <c r="R212" i="20"/>
  <c r="R309" i="20" s="1"/>
  <c r="R312" i="20" s="1"/>
  <c r="R313" i="20" s="1"/>
  <c r="AE31" i="20"/>
  <c r="AE128" i="20" s="1"/>
  <c r="AE131" i="20" s="1"/>
  <c r="BK31" i="20"/>
  <c r="BF212" i="20"/>
  <c r="BS31" i="20"/>
  <c r="AG212" i="20"/>
  <c r="AG309" i="20" s="1"/>
  <c r="AG312" i="20" s="1"/>
  <c r="BN212" i="20"/>
  <c r="CD212" i="20"/>
  <c r="G31" i="20"/>
  <c r="G128" i="20" s="1"/>
  <c r="G131" i="20" s="1"/>
  <c r="Z212" i="20"/>
  <c r="Z309" i="20" s="1"/>
  <c r="Z312" i="20" s="1"/>
  <c r="Z313" i="20" s="1"/>
  <c r="O31" i="20"/>
  <c r="O128" i="20" s="1"/>
  <c r="O131" i="20" s="1"/>
  <c r="AU31" i="20"/>
  <c r="AU128" i="20" s="1"/>
  <c r="AU131" i="20" s="1"/>
  <c r="CA31" i="20"/>
  <c r="AJ212" i="20"/>
  <c r="AJ309" i="20" s="1"/>
  <c r="AJ312" i="20" s="1"/>
  <c r="AJ313" i="20" s="1"/>
  <c r="AM31" i="20"/>
  <c r="AM128" i="20" s="1"/>
  <c r="AM131" i="20" s="1"/>
  <c r="N395" i="20"/>
  <c r="V395" i="20"/>
  <c r="AL395" i="20"/>
  <c r="BJ395" i="20"/>
  <c r="U396" i="20"/>
  <c r="AS396" i="20"/>
  <c r="BA396" i="20"/>
  <c r="CG322" i="20"/>
  <c r="U397" i="20"/>
  <c r="BI397" i="20"/>
  <c r="CG397" i="20"/>
  <c r="G321" i="20"/>
  <c r="O321" i="20"/>
  <c r="AE321" i="20"/>
  <c r="AI323" i="20"/>
  <c r="AM321" i="20"/>
  <c r="AU321" i="20"/>
  <c r="BC321" i="20"/>
  <c r="BS321" i="20"/>
  <c r="CA321" i="20"/>
  <c r="N322" i="20"/>
  <c r="V322" i="20"/>
  <c r="AD322" i="20"/>
  <c r="AL322" i="20"/>
  <c r="BB322" i="20"/>
  <c r="BJ322" i="20"/>
  <c r="CH322" i="20"/>
  <c r="J332" i="20"/>
  <c r="J398" i="20" s="1"/>
  <c r="R332" i="20"/>
  <c r="R398" i="20" s="1"/>
  <c r="Z332" i="20"/>
  <c r="Z398" i="20" s="1"/>
  <c r="AH332" i="20"/>
  <c r="AH398" i="20" s="1"/>
  <c r="AP332" i="20"/>
  <c r="AP398" i="20" s="1"/>
  <c r="AX332" i="20"/>
  <c r="AX398" i="20" s="1"/>
  <c r="BF332" i="20"/>
  <c r="BF398" i="20" s="1"/>
  <c r="BN332" i="20"/>
  <c r="BN398" i="20" s="1"/>
  <c r="BV332" i="20"/>
  <c r="BV398" i="20" s="1"/>
  <c r="CH395" i="20"/>
  <c r="AC396" i="20"/>
  <c r="BY322" i="20"/>
  <c r="N397" i="20"/>
  <c r="V397" i="20"/>
  <c r="AD397" i="20"/>
  <c r="AL397" i="20"/>
  <c r="AT397" i="20"/>
  <c r="BB397" i="20"/>
  <c r="BJ397" i="20"/>
  <c r="BR397" i="20"/>
  <c r="BZ397" i="20"/>
  <c r="CH397" i="20"/>
  <c r="K332" i="20"/>
  <c r="K398" i="20" s="1"/>
  <c r="S332" i="20"/>
  <c r="S398" i="20" s="1"/>
  <c r="AA332" i="20"/>
  <c r="AA398" i="20" s="1"/>
  <c r="AI332" i="20"/>
  <c r="AI398" i="20" s="1"/>
  <c r="AQ332" i="20"/>
  <c r="AQ398" i="20" s="1"/>
  <c r="AY332" i="20"/>
  <c r="AY398" i="20" s="1"/>
  <c r="BG332" i="20"/>
  <c r="BG398" i="20" s="1"/>
  <c r="BO332" i="20"/>
  <c r="BO398" i="20" s="1"/>
  <c r="BW332" i="20"/>
  <c r="BW398" i="20" s="1"/>
  <c r="CE332" i="20"/>
  <c r="CE398" i="20" s="1"/>
  <c r="J140" i="20"/>
  <c r="R140" i="20"/>
  <c r="Z140" i="20"/>
  <c r="AH140" i="20"/>
  <c r="AP140" i="20"/>
  <c r="AX140" i="20"/>
  <c r="BF140" i="20"/>
  <c r="BN140" i="20"/>
  <c r="BV140" i="20"/>
  <c r="CD140" i="20"/>
  <c r="Q379" i="20"/>
  <c r="AG379" i="20"/>
  <c r="AW379" i="20"/>
  <c r="BM379" i="20"/>
  <c r="CC379" i="20"/>
  <c r="K140" i="20"/>
  <c r="O142" i="20"/>
  <c r="S140" i="20"/>
  <c r="AA140" i="20"/>
  <c r="AI140" i="20"/>
  <c r="AQ140" i="20"/>
  <c r="AY140" i="20"/>
  <c r="BG140" i="20"/>
  <c r="BO140" i="20"/>
  <c r="BW140" i="20"/>
  <c r="CA142" i="20"/>
  <c r="CE140" i="20"/>
  <c r="J141" i="20"/>
  <c r="R141" i="20"/>
  <c r="N151" i="20"/>
  <c r="V151" i="20"/>
  <c r="AD151" i="20"/>
  <c r="AL151" i="20"/>
  <c r="AT151" i="20"/>
  <c r="BB151" i="20"/>
  <c r="BJ151" i="20"/>
  <c r="BR151" i="20"/>
  <c r="BZ151" i="20"/>
  <c r="CH151" i="20"/>
  <c r="M31" i="20"/>
  <c r="M128" i="20" s="1"/>
  <c r="M131" i="20" s="1"/>
  <c r="M132" i="20" s="1"/>
  <c r="M179" i="20" s="1"/>
  <c r="M181" i="20" s="1"/>
  <c r="W31" i="20"/>
  <c r="W128" i="20" s="1"/>
  <c r="W131" i="20" s="1"/>
  <c r="AI31" i="20"/>
  <c r="AI128" i="20" s="1"/>
  <c r="AI131" i="20" s="1"/>
  <c r="AI76" i="15" s="1"/>
  <c r="AS31" i="20"/>
  <c r="AS128" i="20" s="1"/>
  <c r="AS131" i="20" s="1"/>
  <c r="BC31" i="20"/>
  <c r="BO31" i="20"/>
  <c r="BY31" i="20"/>
  <c r="CI31" i="20"/>
  <c r="H151" i="20"/>
  <c r="P151" i="20"/>
  <c r="AF151" i="20"/>
  <c r="BD151" i="20"/>
  <c r="BL151" i="20"/>
  <c r="BT151" i="20"/>
  <c r="CB151" i="20"/>
  <c r="AH212" i="20"/>
  <c r="AH309" i="20" s="1"/>
  <c r="AH312" i="20" s="1"/>
  <c r="AH313" i="20" s="1"/>
  <c r="AX212" i="20"/>
  <c r="BV212" i="20"/>
  <c r="AK31" i="20"/>
  <c r="AK128" i="20" s="1"/>
  <c r="AK131" i="20" s="1"/>
  <c r="BQ31" i="20"/>
  <c r="L379" i="20"/>
  <c r="T379" i="20"/>
  <c r="AB379" i="20"/>
  <c r="AJ379" i="20"/>
  <c r="AR379" i="20"/>
  <c r="AZ379" i="20"/>
  <c r="BH379" i="20"/>
  <c r="BP379" i="20"/>
  <c r="BX379" i="20"/>
  <c r="I151" i="20"/>
  <c r="Q151" i="20"/>
  <c r="Y151" i="20"/>
  <c r="AG151" i="20"/>
  <c r="AO151" i="20"/>
  <c r="AW151" i="20"/>
  <c r="BE151" i="20"/>
  <c r="BM151" i="20"/>
  <c r="BU151" i="20"/>
  <c r="CC151" i="20"/>
  <c r="N222" i="20"/>
  <c r="N223" i="20" s="1"/>
  <c r="N212" i="20"/>
  <c r="N309" i="20" s="1"/>
  <c r="N312" i="20" s="1"/>
  <c r="V222" i="20"/>
  <c r="V223" i="20" s="1"/>
  <c r="V391" i="20" s="1"/>
  <c r="V212" i="20"/>
  <c r="V309" i="20" s="1"/>
  <c r="V312" i="20" s="1"/>
  <c r="AD222" i="20"/>
  <c r="AD223" i="20" s="1"/>
  <c r="AD391" i="20" s="1"/>
  <c r="AD212" i="20"/>
  <c r="AD309" i="20" s="1"/>
  <c r="AD312" i="20" s="1"/>
  <c r="AL222" i="20"/>
  <c r="AL223" i="20" s="1"/>
  <c r="AL270" i="20" s="1"/>
  <c r="AL272" i="20" s="1"/>
  <c r="AL212" i="20"/>
  <c r="AL309" i="20" s="1"/>
  <c r="AL312" i="20" s="1"/>
  <c r="AL313" i="20" s="1"/>
  <c r="AL400" i="20" s="1"/>
  <c r="AT222" i="20"/>
  <c r="AT223" i="20" s="1"/>
  <c r="AT270" i="20" s="1"/>
  <c r="AT272" i="20" s="1"/>
  <c r="AT212" i="20"/>
  <c r="BB222" i="20"/>
  <c r="BB223" i="20" s="1"/>
  <c r="BB270" i="20" s="1"/>
  <c r="BB272" i="20" s="1"/>
  <c r="BB212" i="20"/>
  <c r="BJ222" i="20"/>
  <c r="BJ223" i="20" s="1"/>
  <c r="BJ391" i="20" s="1"/>
  <c r="BJ212" i="20"/>
  <c r="BR222" i="20"/>
  <c r="BR223" i="20" s="1"/>
  <c r="BR270" i="20" s="1"/>
  <c r="BR272" i="20" s="1"/>
  <c r="BR212" i="20"/>
  <c r="BZ222" i="20"/>
  <c r="BZ223" i="20" s="1"/>
  <c r="BZ270" i="20" s="1"/>
  <c r="BZ272" i="20" s="1"/>
  <c r="BZ212" i="20"/>
  <c r="CD332" i="20"/>
  <c r="CD398" i="20" s="1"/>
  <c r="J379" i="20"/>
  <c r="R379" i="20"/>
  <c r="Z379" i="20"/>
  <c r="AH379" i="20"/>
  <c r="AP379" i="20"/>
  <c r="K151" i="20"/>
  <c r="O151" i="20"/>
  <c r="S151" i="20"/>
  <c r="W151" i="20"/>
  <c r="AA151" i="20"/>
  <c r="AE151" i="20"/>
  <c r="AI151" i="20"/>
  <c r="AM151" i="20"/>
  <c r="AQ151" i="20"/>
  <c r="AY151" i="20"/>
  <c r="BC151" i="20"/>
  <c r="BG151" i="20"/>
  <c r="BK151" i="20"/>
  <c r="BO151" i="20"/>
  <c r="BW151" i="20"/>
  <c r="CA151" i="20"/>
  <c r="CE151" i="20"/>
  <c r="CI151" i="20"/>
  <c r="M212" i="20"/>
  <c r="M309" i="20" s="1"/>
  <c r="M312" i="20" s="1"/>
  <c r="M313" i="20" s="1"/>
  <c r="U212" i="20"/>
  <c r="U309" i="20" s="1"/>
  <c r="U312" i="20" s="1"/>
  <c r="AC212" i="20"/>
  <c r="AC309" i="20" s="1"/>
  <c r="AC312" i="20" s="1"/>
  <c r="AC313" i="20" s="1"/>
  <c r="AS212" i="20"/>
  <c r="AS309" i="20" s="1"/>
  <c r="AS312" i="20" s="1"/>
  <c r="AS313" i="20" s="1"/>
  <c r="BA212" i="20"/>
  <c r="BI212" i="20"/>
  <c r="BY212" i="20"/>
  <c r="K303" i="20"/>
  <c r="AB396" i="20"/>
  <c r="BX322" i="20"/>
  <c r="CF322" i="20"/>
  <c r="T332" i="20"/>
  <c r="T398" i="20" s="1"/>
  <c r="AJ332" i="20"/>
  <c r="AJ398" i="20" s="1"/>
  <c r="AZ332" i="20"/>
  <c r="AZ398" i="20" s="1"/>
  <c r="BP332" i="20"/>
  <c r="BP398" i="20" s="1"/>
  <c r="CF332" i="20"/>
  <c r="CF398" i="20" s="1"/>
  <c r="H397" i="20"/>
  <c r="L397" i="20"/>
  <c r="P397" i="20"/>
  <c r="T397" i="20"/>
  <c r="X397" i="20"/>
  <c r="AB397" i="20"/>
  <c r="AF397" i="20"/>
  <c r="AJ397" i="20"/>
  <c r="AN397" i="20"/>
  <c r="AR397" i="20"/>
  <c r="AV397" i="20"/>
  <c r="AZ397" i="20"/>
  <c r="BD397" i="20"/>
  <c r="BH397" i="20"/>
  <c r="BL397" i="20"/>
  <c r="BP397" i="20"/>
  <c r="BT397" i="20"/>
  <c r="BX397" i="20"/>
  <c r="CB397" i="20"/>
  <c r="CF397" i="20"/>
  <c r="J323" i="20"/>
  <c r="AH323" i="20"/>
  <c r="BV323" i="20"/>
  <c r="H31" i="20"/>
  <c r="H128" i="20" s="1"/>
  <c r="H131" i="20" s="1"/>
  <c r="H41" i="20"/>
  <c r="I31" i="20"/>
  <c r="I128" i="20" s="1"/>
  <c r="I131" i="20" s="1"/>
  <c r="I41" i="20"/>
  <c r="P31" i="20"/>
  <c r="P128" i="20" s="1"/>
  <c r="P131" i="20" s="1"/>
  <c r="P41" i="20"/>
  <c r="Q31" i="20"/>
  <c r="Q128" i="20" s="1"/>
  <c r="Q131" i="20" s="1"/>
  <c r="Q41" i="20"/>
  <c r="X31" i="20"/>
  <c r="X128" i="20" s="1"/>
  <c r="X131" i="20" s="1"/>
  <c r="X41" i="20"/>
  <c r="Y31" i="20"/>
  <c r="Y128" i="20" s="1"/>
  <c r="Y131" i="20" s="1"/>
  <c r="Y41" i="20"/>
  <c r="AF31" i="20"/>
  <c r="AF128" i="20" s="1"/>
  <c r="AF131" i="20" s="1"/>
  <c r="AF41" i="20"/>
  <c r="AG31" i="20"/>
  <c r="AG128" i="20" s="1"/>
  <c r="AG131" i="20" s="1"/>
  <c r="AG76" i="15" s="1"/>
  <c r="AG41" i="20"/>
  <c r="AN31" i="20"/>
  <c r="AN128" i="20" s="1"/>
  <c r="AN131" i="20" s="1"/>
  <c r="AN41" i="20"/>
  <c r="AO31" i="20"/>
  <c r="AO128" i="20" s="1"/>
  <c r="AO131" i="20" s="1"/>
  <c r="AO41" i="20"/>
  <c r="AV31" i="20"/>
  <c r="AV41" i="20"/>
  <c r="AW31" i="20"/>
  <c r="AW41" i="20"/>
  <c r="BD31" i="20"/>
  <c r="BD41" i="20"/>
  <c r="BE31" i="20"/>
  <c r="BE41" i="20"/>
  <c r="BL31" i="20"/>
  <c r="BL41" i="20"/>
  <c r="BM31" i="20"/>
  <c r="BM41" i="20"/>
  <c r="BT31" i="20"/>
  <c r="BT41" i="20"/>
  <c r="BU31" i="20"/>
  <c r="BU41" i="20"/>
  <c r="CB31" i="20"/>
  <c r="CB41" i="20"/>
  <c r="CC31" i="20"/>
  <c r="CC41" i="20"/>
  <c r="H83" i="20"/>
  <c r="H84" i="20"/>
  <c r="H76" i="20"/>
  <c r="H62" i="20" s="1"/>
  <c r="I58" i="15"/>
  <c r="CF379" i="20"/>
  <c r="H377" i="20"/>
  <c r="H142" i="20"/>
  <c r="H140" i="20"/>
  <c r="I377" i="20"/>
  <c r="I142" i="20"/>
  <c r="I140" i="20"/>
  <c r="P377" i="20"/>
  <c r="P142" i="20"/>
  <c r="P140" i="20"/>
  <c r="Q377" i="20"/>
  <c r="Q142" i="20"/>
  <c r="Q140" i="20"/>
  <c r="X377" i="20"/>
  <c r="X142" i="20"/>
  <c r="X140" i="20"/>
  <c r="Y377" i="20"/>
  <c r="Y142" i="20"/>
  <c r="Y140" i="20"/>
  <c r="AF377" i="20"/>
  <c r="AF142" i="20"/>
  <c r="AF140" i="20"/>
  <c r="AG377" i="20"/>
  <c r="AG142" i="20"/>
  <c r="AG140" i="20"/>
  <c r="AN377" i="20"/>
  <c r="AN142" i="20"/>
  <c r="AN140" i="20"/>
  <c r="AO377" i="20"/>
  <c r="AO140" i="20"/>
  <c r="AV377" i="20"/>
  <c r="AV142" i="20"/>
  <c r="AV140" i="20"/>
  <c r="AW377" i="20"/>
  <c r="AW142" i="20"/>
  <c r="AW140" i="20"/>
  <c r="BD377" i="20"/>
  <c r="BD142" i="20"/>
  <c r="BD140" i="20"/>
  <c r="BE377" i="20"/>
  <c r="BE140" i="20"/>
  <c r="BL377" i="20"/>
  <c r="BL142" i="20"/>
  <c r="BL140" i="20"/>
  <c r="BM377" i="20"/>
  <c r="BM140" i="20"/>
  <c r="BT377" i="20"/>
  <c r="BT142" i="20"/>
  <c r="BT140" i="20"/>
  <c r="BU377" i="20"/>
  <c r="BU142" i="20"/>
  <c r="BU140" i="20"/>
  <c r="CB377" i="20"/>
  <c r="CB142" i="20"/>
  <c r="CB140" i="20"/>
  <c r="CC377" i="20"/>
  <c r="CC142" i="20"/>
  <c r="CC140" i="20"/>
  <c r="G378" i="20"/>
  <c r="H378" i="20"/>
  <c r="H141" i="20"/>
  <c r="I378" i="20"/>
  <c r="I141" i="20"/>
  <c r="O378" i="20"/>
  <c r="O141" i="20"/>
  <c r="P378" i="20"/>
  <c r="P141" i="20"/>
  <c r="Q378" i="20"/>
  <c r="Q141" i="20"/>
  <c r="S139" i="20"/>
  <c r="W378" i="20"/>
  <c r="X378" i="20"/>
  <c r="Y378" i="20"/>
  <c r="AE378" i="20"/>
  <c r="AF378" i="20"/>
  <c r="AG378" i="20"/>
  <c r="AI139" i="20"/>
  <c r="AM378" i="20"/>
  <c r="AN378" i="20"/>
  <c r="AO378" i="20"/>
  <c r="AU378" i="20"/>
  <c r="AV378" i="20"/>
  <c r="AW378" i="20"/>
  <c r="AY139" i="20"/>
  <c r="BC378" i="20"/>
  <c r="BD378" i="20"/>
  <c r="BE378" i="20"/>
  <c r="BK378" i="20"/>
  <c r="BL378" i="20"/>
  <c r="BM378" i="20"/>
  <c r="BO139" i="20"/>
  <c r="BS378" i="20"/>
  <c r="BT378" i="20"/>
  <c r="BU378" i="20"/>
  <c r="CA378" i="20"/>
  <c r="CB378" i="20"/>
  <c r="CC378" i="20"/>
  <c r="CE139" i="20"/>
  <c r="CI378" i="20"/>
  <c r="J139" i="20"/>
  <c r="K139" i="20"/>
  <c r="L139" i="20"/>
  <c r="R139" i="20"/>
  <c r="T139" i="20"/>
  <c r="U139" i="20"/>
  <c r="Z139" i="20"/>
  <c r="AA139" i="20"/>
  <c r="AB139" i="20"/>
  <c r="AC139" i="20"/>
  <c r="AH139" i="20"/>
  <c r="AJ139" i="20"/>
  <c r="AK139" i="20"/>
  <c r="AP139" i="20"/>
  <c r="AQ139" i="20"/>
  <c r="AR139" i="20"/>
  <c r="AS139" i="20"/>
  <c r="AX139" i="20"/>
  <c r="AZ139" i="20"/>
  <c r="BA139" i="20"/>
  <c r="BF139" i="20"/>
  <c r="BG139" i="20"/>
  <c r="BH139" i="20"/>
  <c r="BI139" i="20"/>
  <c r="BN139" i="20"/>
  <c r="BP139" i="20"/>
  <c r="BQ139" i="20"/>
  <c r="BV139" i="20"/>
  <c r="BW139" i="20"/>
  <c r="BX139" i="20"/>
  <c r="BY139" i="20"/>
  <c r="CD139" i="20"/>
  <c r="CF139" i="20"/>
  <c r="CG139" i="20"/>
  <c r="X151" i="20"/>
  <c r="AV151" i="20"/>
  <c r="AU151" i="20"/>
  <c r="BS151" i="20"/>
  <c r="H166" i="20"/>
  <c r="H174" i="20"/>
  <c r="H173" i="20"/>
  <c r="H172" i="20"/>
  <c r="G212" i="20"/>
  <c r="G309" i="20" s="1"/>
  <c r="G312" i="20" s="1"/>
  <c r="G222" i="20"/>
  <c r="G223" i="20" s="1"/>
  <c r="G391" i="20" s="1"/>
  <c r="AA212" i="20"/>
  <c r="AA309" i="20" s="1"/>
  <c r="AA312" i="20" s="1"/>
  <c r="AA222" i="20"/>
  <c r="AA223" i="20" s="1"/>
  <c r="AA270" i="20" s="1"/>
  <c r="AA272" i="20" s="1"/>
  <c r="AB212" i="20"/>
  <c r="AB309" i="20" s="1"/>
  <c r="AB312" i="20" s="1"/>
  <c r="AB313" i="20" s="1"/>
  <c r="AB222" i="20"/>
  <c r="AB223" i="20" s="1"/>
  <c r="AB391" i="20" s="1"/>
  <c r="AJ391" i="20"/>
  <c r="AJ270" i="20"/>
  <c r="AJ272" i="20" s="1"/>
  <c r="AQ212" i="20"/>
  <c r="AQ309" i="20" s="1"/>
  <c r="AQ312" i="20" s="1"/>
  <c r="AQ222" i="20"/>
  <c r="AQ223" i="20" s="1"/>
  <c r="AQ391" i="20" s="1"/>
  <c r="BG212" i="20"/>
  <c r="BG222" i="20"/>
  <c r="BG223" i="20" s="1"/>
  <c r="BG391" i="20" s="1"/>
  <c r="BH212" i="20"/>
  <c r="BH222" i="20"/>
  <c r="BH223" i="20" s="1"/>
  <c r="BH391" i="20" s="1"/>
  <c r="BW212" i="20"/>
  <c r="BW222" i="20"/>
  <c r="BW223" i="20" s="1"/>
  <c r="BW391" i="20" s="1"/>
  <c r="G389" i="20"/>
  <c r="G390" i="20" s="1"/>
  <c r="G392" i="20" s="1"/>
  <c r="G243" i="20"/>
  <c r="H263" i="20"/>
  <c r="H265" i="20"/>
  <c r="I263" i="20"/>
  <c r="O390" i="20"/>
  <c r="O392" i="20" s="1"/>
  <c r="W390" i="20"/>
  <c r="W392" i="20" s="1"/>
  <c r="AE390" i="20"/>
  <c r="AE392" i="20" s="1"/>
  <c r="AM390" i="20"/>
  <c r="AM392" i="20" s="1"/>
  <c r="AU390" i="20"/>
  <c r="AU392" i="20" s="1"/>
  <c r="BC390" i="20"/>
  <c r="BC392" i="20" s="1"/>
  <c r="BK390" i="20"/>
  <c r="BK392" i="20" s="1"/>
  <c r="BS390" i="20"/>
  <c r="BS392" i="20" s="1"/>
  <c r="CA390" i="20"/>
  <c r="CA392" i="20" s="1"/>
  <c r="CI390" i="20"/>
  <c r="CI392" i="20" s="1"/>
  <c r="L395" i="20"/>
  <c r="L321" i="20"/>
  <c r="M395" i="20"/>
  <c r="M321" i="20"/>
  <c r="T395" i="20"/>
  <c r="T323" i="20"/>
  <c r="U395" i="20"/>
  <c r="U323" i="20"/>
  <c r="AB395" i="20"/>
  <c r="AB323" i="20"/>
  <c r="AB321" i="20"/>
  <c r="AC395" i="20"/>
  <c r="AC321" i="20"/>
  <c r="AD395" i="20"/>
  <c r="AD321" i="20"/>
  <c r="AJ395" i="20"/>
  <c r="AJ321" i="20"/>
  <c r="AK395" i="20"/>
  <c r="AK321" i="20"/>
  <c r="AR395" i="20"/>
  <c r="AR323" i="20"/>
  <c r="AR321" i="20"/>
  <c r="AS395" i="20"/>
  <c r="AS323" i="20"/>
  <c r="AT395" i="20"/>
  <c r="AT323" i="20"/>
  <c r="AZ395" i="20"/>
  <c r="AZ323" i="20"/>
  <c r="AZ321" i="20"/>
  <c r="BA395" i="20"/>
  <c r="BA321" i="20"/>
  <c r="BB395" i="20"/>
  <c r="BB321" i="20"/>
  <c r="BH395" i="20"/>
  <c r="BH323" i="20"/>
  <c r="BI395" i="20"/>
  <c r="BI321" i="20"/>
  <c r="BP395" i="20"/>
  <c r="BP323" i="20"/>
  <c r="BP321" i="20"/>
  <c r="BQ395" i="20"/>
  <c r="BQ323" i="20"/>
  <c r="BQ321" i="20"/>
  <c r="BR395" i="20"/>
  <c r="BR323" i="20"/>
  <c r="BX395" i="20"/>
  <c r="BX321" i="20"/>
  <c r="BY395" i="20"/>
  <c r="BY323" i="20"/>
  <c r="BY321" i="20"/>
  <c r="BZ395" i="20"/>
  <c r="BZ321" i="20"/>
  <c r="CF395" i="20"/>
  <c r="CF323" i="20"/>
  <c r="CG395" i="20"/>
  <c r="CG323" i="20"/>
  <c r="K396" i="20"/>
  <c r="K322" i="20"/>
  <c r="L396" i="20"/>
  <c r="L322" i="20"/>
  <c r="M396" i="20"/>
  <c r="M322" i="20"/>
  <c r="S396" i="20"/>
  <c r="S322" i="20"/>
  <c r="T396" i="20"/>
  <c r="T322" i="20"/>
  <c r="AA396" i="20"/>
  <c r="AA322" i="20"/>
  <c r="AI396" i="20"/>
  <c r="AI322" i="20"/>
  <c r="AJ396" i="20"/>
  <c r="AJ322" i="20"/>
  <c r="AK396" i="20"/>
  <c r="AK322" i="20"/>
  <c r="AR396" i="20"/>
  <c r="AR322" i="20"/>
  <c r="AY396" i="20"/>
  <c r="AY322" i="20"/>
  <c r="AZ396" i="20"/>
  <c r="AZ322" i="20"/>
  <c r="BG396" i="20"/>
  <c r="BG322" i="20"/>
  <c r="BH396" i="20"/>
  <c r="BH322" i="20"/>
  <c r="BI396" i="20"/>
  <c r="BI322" i="20"/>
  <c r="BP396" i="20"/>
  <c r="BP322" i="20"/>
  <c r="BQ396" i="20"/>
  <c r="BQ322" i="20"/>
  <c r="BW396" i="20"/>
  <c r="BW322" i="20"/>
  <c r="CE396" i="20"/>
  <c r="CE322" i="20"/>
  <c r="H320" i="20"/>
  <c r="O320" i="20"/>
  <c r="U320" i="20"/>
  <c r="V320" i="20"/>
  <c r="W320" i="20"/>
  <c r="AD320" i="20"/>
  <c r="AE320" i="20"/>
  <c r="AG320" i="20"/>
  <c r="AL320" i="20"/>
  <c r="AM320" i="20"/>
  <c r="AT320" i="20"/>
  <c r="AU320" i="20"/>
  <c r="BB320" i="20"/>
  <c r="BC320" i="20"/>
  <c r="BJ320" i="20"/>
  <c r="BK320" i="20"/>
  <c r="BR320" i="20"/>
  <c r="BS320" i="20"/>
  <c r="BT320" i="20"/>
  <c r="CA320" i="20"/>
  <c r="CH320" i="20"/>
  <c r="CI320" i="20"/>
  <c r="H321" i="20"/>
  <c r="M332" i="20"/>
  <c r="M398" i="20" s="1"/>
  <c r="P321" i="20"/>
  <c r="U332" i="20"/>
  <c r="U398" i="20" s="1"/>
  <c r="AC332" i="20"/>
  <c r="AC398" i="20" s="1"/>
  <c r="AF320" i="20"/>
  <c r="AK332" i="20"/>
  <c r="AK398" i="20" s="1"/>
  <c r="AN321" i="20"/>
  <c r="AS332" i="20"/>
  <c r="AS398" i="20" s="1"/>
  <c r="BA332" i="20"/>
  <c r="BA398" i="20" s="1"/>
  <c r="BI332" i="20"/>
  <c r="BI398" i="20" s="1"/>
  <c r="BL321" i="20"/>
  <c r="BQ332" i="20"/>
  <c r="BQ398" i="20" s="1"/>
  <c r="BT321" i="20"/>
  <c r="BY332" i="20"/>
  <c r="BY398" i="20" s="1"/>
  <c r="CG332" i="20"/>
  <c r="CG398" i="20" s="1"/>
  <c r="L332" i="20"/>
  <c r="L398" i="20" s="1"/>
  <c r="AB332" i="20"/>
  <c r="AB398" i="20" s="1"/>
  <c r="AR332" i="20"/>
  <c r="AR398" i="20" s="1"/>
  <c r="AU322" i="20"/>
  <c r="BC322" i="20"/>
  <c r="BH332" i="20"/>
  <c r="BH398" i="20" s="1"/>
  <c r="BR322" i="20"/>
  <c r="BX332" i="20"/>
  <c r="BX398" i="20" s="1"/>
  <c r="BZ322" i="20"/>
  <c r="BI303" i="20"/>
  <c r="H355" i="20"/>
  <c r="H353" i="20"/>
  <c r="H347" i="20"/>
  <c r="I355" i="20"/>
  <c r="K371" i="20"/>
  <c r="K372" i="20" s="1"/>
  <c r="K374" i="20" s="1"/>
  <c r="S371" i="20"/>
  <c r="S372" i="20" s="1"/>
  <c r="S374" i="20" s="1"/>
  <c r="AA371" i="20"/>
  <c r="AA372" i="20" s="1"/>
  <c r="AA374" i="20" s="1"/>
  <c r="AI371" i="20"/>
  <c r="AI372" i="20" s="1"/>
  <c r="AQ371" i="20"/>
  <c r="AQ372" i="20" s="1"/>
  <c r="AQ374" i="20" s="1"/>
  <c r="AY371" i="20"/>
  <c r="AY372" i="20" s="1"/>
  <c r="AY374" i="20" s="1"/>
  <c r="BG371" i="20"/>
  <c r="BG372" i="20" s="1"/>
  <c r="BG374" i="20" s="1"/>
  <c r="BO371" i="20"/>
  <c r="BO372" i="20" s="1"/>
  <c r="BO374" i="20" s="1"/>
  <c r="BW371" i="20"/>
  <c r="BW372" i="20" s="1"/>
  <c r="BW374" i="20" s="1"/>
  <c r="CE371" i="20"/>
  <c r="CE372" i="20" s="1"/>
  <c r="CE374" i="20" s="1"/>
  <c r="R31" i="20"/>
  <c r="R128" i="20" s="1"/>
  <c r="R131" i="20" s="1"/>
  <c r="AH31" i="20"/>
  <c r="AH128" i="20" s="1"/>
  <c r="AH131" i="20" s="1"/>
  <c r="AH76" i="15" s="1"/>
  <c r="BF31" i="20"/>
  <c r="BF41" i="20"/>
  <c r="AX31" i="20"/>
  <c r="AX41" i="20"/>
  <c r="BV31" i="20"/>
  <c r="BV41" i="20"/>
  <c r="CD31" i="20"/>
  <c r="CD41" i="20"/>
  <c r="AP31" i="20"/>
  <c r="AP128" i="20" s="1"/>
  <c r="AP131" i="20" s="1"/>
  <c r="AP41" i="20"/>
  <c r="BN31" i="20"/>
  <c r="BN41" i="20"/>
  <c r="J31" i="20"/>
  <c r="J128" i="20" s="1"/>
  <c r="J131" i="20" s="1"/>
  <c r="J76" i="15" s="1"/>
  <c r="Z31" i="20"/>
  <c r="Z128" i="20" s="1"/>
  <c r="Z131" i="20" s="1"/>
  <c r="L31" i="20"/>
  <c r="L128" i="20" s="1"/>
  <c r="L131" i="20" s="1"/>
  <c r="T31" i="20"/>
  <c r="T128" i="20" s="1"/>
  <c r="T131" i="20" s="1"/>
  <c r="AB31" i="20"/>
  <c r="AB128" i="20" s="1"/>
  <c r="AB131" i="20" s="1"/>
  <c r="AJ31" i="20"/>
  <c r="AJ128" i="20" s="1"/>
  <c r="AJ131" i="20" s="1"/>
  <c r="AR31" i="20"/>
  <c r="AR128" i="20" s="1"/>
  <c r="AR131" i="20" s="1"/>
  <c r="AR76" i="15" s="1"/>
  <c r="AZ31" i="20"/>
  <c r="BH31" i="20"/>
  <c r="BP31" i="20"/>
  <c r="BX31" i="20"/>
  <c r="CF31" i="20"/>
  <c r="H82" i="20"/>
  <c r="Q139" i="20"/>
  <c r="G380" i="20"/>
  <c r="N31" i="20"/>
  <c r="N128" i="20" s="1"/>
  <c r="N131" i="20" s="1"/>
  <c r="V31" i="20"/>
  <c r="V128" i="20" s="1"/>
  <c r="V131" i="20" s="1"/>
  <c r="AD31" i="20"/>
  <c r="AD128" i="20" s="1"/>
  <c r="AD131" i="20" s="1"/>
  <c r="AL31" i="20"/>
  <c r="AL128" i="20" s="1"/>
  <c r="AL131" i="20" s="1"/>
  <c r="AT31" i="20"/>
  <c r="AT128" i="20" s="1"/>
  <c r="AT131" i="20" s="1"/>
  <c r="BB31" i="20"/>
  <c r="BJ31" i="20"/>
  <c r="BR31" i="20"/>
  <c r="BZ31" i="20"/>
  <c r="CH31" i="20"/>
  <c r="G372" i="20"/>
  <c r="AG139" i="20"/>
  <c r="AW139" i="20"/>
  <c r="G62" i="20"/>
  <c r="BM139" i="20"/>
  <c r="H222" i="20"/>
  <c r="H223" i="20" s="1"/>
  <c r="H212" i="20"/>
  <c r="H309" i="20" s="1"/>
  <c r="H312" i="20" s="1"/>
  <c r="P212" i="20"/>
  <c r="P309" i="20" s="1"/>
  <c r="P312" i="20" s="1"/>
  <c r="P222" i="20"/>
  <c r="P223" i="20" s="1"/>
  <c r="X222" i="20"/>
  <c r="X223" i="20" s="1"/>
  <c r="X212" i="20"/>
  <c r="X309" i="20" s="1"/>
  <c r="X312" i="20" s="1"/>
  <c r="AF212" i="20"/>
  <c r="AF309" i="20" s="1"/>
  <c r="AF312" i="20" s="1"/>
  <c r="AF222" i="20"/>
  <c r="AF223" i="20" s="1"/>
  <c r="AN222" i="20"/>
  <c r="AN223" i="20" s="1"/>
  <c r="AN212" i="20"/>
  <c r="AN309" i="20" s="1"/>
  <c r="AN312" i="20" s="1"/>
  <c r="AV212" i="20"/>
  <c r="AV222" i="20"/>
  <c r="AV223" i="20" s="1"/>
  <c r="BD222" i="20"/>
  <c r="BD223" i="20" s="1"/>
  <c r="BD212" i="20"/>
  <c r="BL212" i="20"/>
  <c r="BL222" i="20"/>
  <c r="BL223" i="20" s="1"/>
  <c r="BT222" i="20"/>
  <c r="BT223" i="20" s="1"/>
  <c r="BT212" i="20"/>
  <c r="CB212" i="20"/>
  <c r="CB222" i="20"/>
  <c r="CB223" i="20" s="1"/>
  <c r="BN372" i="20"/>
  <c r="BN374" i="20" s="1"/>
  <c r="CC139" i="20"/>
  <c r="I379" i="20"/>
  <c r="I139" i="20"/>
  <c r="Y379" i="20"/>
  <c r="Y139" i="20"/>
  <c r="AO379" i="20"/>
  <c r="AO139" i="20"/>
  <c r="BE379" i="20"/>
  <c r="BE139" i="20"/>
  <c r="BU379" i="20"/>
  <c r="BU139" i="20"/>
  <c r="G377" i="20"/>
  <c r="O377" i="20"/>
  <c r="O140" i="20"/>
  <c r="W377" i="20"/>
  <c r="W140" i="20"/>
  <c r="W142" i="20"/>
  <c r="AE377" i="20"/>
  <c r="AE140" i="20"/>
  <c r="AE142" i="20"/>
  <c r="AM377" i="20"/>
  <c r="AM140" i="20"/>
  <c r="AM142" i="20"/>
  <c r="AU377" i="20"/>
  <c r="AU140" i="20"/>
  <c r="AU142" i="20"/>
  <c r="BC377" i="20"/>
  <c r="BC140" i="20"/>
  <c r="BC142" i="20"/>
  <c r="BK377" i="20"/>
  <c r="BK140" i="20"/>
  <c r="BK142" i="20"/>
  <c r="BS377" i="20"/>
  <c r="BS140" i="20"/>
  <c r="BS142" i="20"/>
  <c r="CA377" i="20"/>
  <c r="CA140" i="20"/>
  <c r="CI377" i="20"/>
  <c r="CI140" i="20"/>
  <c r="CI142" i="20"/>
  <c r="N378" i="20"/>
  <c r="N141" i="20"/>
  <c r="V378" i="20"/>
  <c r="AD378" i="20"/>
  <c r="AL378" i="20"/>
  <c r="AT378" i="20"/>
  <c r="BB378" i="20"/>
  <c r="BJ378" i="20"/>
  <c r="BR378" i="20"/>
  <c r="BZ378" i="20"/>
  <c r="CH378" i="20"/>
  <c r="BE142" i="20"/>
  <c r="J151" i="20"/>
  <c r="J73" i="15" s="1"/>
  <c r="R151" i="20"/>
  <c r="R73" i="15" s="1"/>
  <c r="Z151" i="20"/>
  <c r="Z73" i="15" s="1"/>
  <c r="AH151" i="20"/>
  <c r="AH73" i="15" s="1"/>
  <c r="AP151" i="20"/>
  <c r="AP73" i="15" s="1"/>
  <c r="AX151" i="20"/>
  <c r="AX73" i="15" s="1"/>
  <c r="BF151" i="20"/>
  <c r="BF73" i="15" s="1"/>
  <c r="BN151" i="20"/>
  <c r="BN73" i="15" s="1"/>
  <c r="BV151" i="20"/>
  <c r="BV73" i="15" s="1"/>
  <c r="CD151" i="20"/>
  <c r="CD73" i="15" s="1"/>
  <c r="AN151" i="20"/>
  <c r="AN73" i="15" s="1"/>
  <c r="CG391" i="20"/>
  <c r="CG270" i="20"/>
  <c r="CG272" i="20" s="1"/>
  <c r="I389" i="20"/>
  <c r="I390" i="20" s="1"/>
  <c r="Q389" i="20"/>
  <c r="Q390" i="20" s="1"/>
  <c r="Y389" i="20"/>
  <c r="Y390" i="20" s="1"/>
  <c r="Y392" i="20" s="1"/>
  <c r="AG389" i="20"/>
  <c r="AG390" i="20" s="1"/>
  <c r="AG392" i="20" s="1"/>
  <c r="AO389" i="20"/>
  <c r="AO390" i="20" s="1"/>
  <c r="AW389" i="20"/>
  <c r="AW390" i="20" s="1"/>
  <c r="AW392" i="20" s="1"/>
  <c r="BE389" i="20"/>
  <c r="BE390" i="20" s="1"/>
  <c r="BE392" i="20" s="1"/>
  <c r="BM389" i="20"/>
  <c r="BM390" i="20" s="1"/>
  <c r="BM392" i="20" s="1"/>
  <c r="J377" i="20"/>
  <c r="J142" i="20"/>
  <c r="R377" i="20"/>
  <c r="R142" i="20"/>
  <c r="Z377" i="20"/>
  <c r="Z142" i="20"/>
  <c r="AH377" i="20"/>
  <c r="AH142" i="20"/>
  <c r="AP377" i="20"/>
  <c r="AP142" i="20"/>
  <c r="AX377" i="20"/>
  <c r="AX142" i="20"/>
  <c r="BF377" i="20"/>
  <c r="BF142" i="20"/>
  <c r="BN377" i="20"/>
  <c r="BN142" i="20"/>
  <c r="BV377" i="20"/>
  <c r="BV142" i="20"/>
  <c r="CD377" i="20"/>
  <c r="CD142" i="20"/>
  <c r="H139" i="20"/>
  <c r="P139" i="20"/>
  <c r="X139" i="20"/>
  <c r="AF139" i="20"/>
  <c r="AN139" i="20"/>
  <c r="AV139" i="20"/>
  <c r="BD139" i="20"/>
  <c r="BL139" i="20"/>
  <c r="BT139" i="20"/>
  <c r="CB139" i="20"/>
  <c r="AO142" i="20"/>
  <c r="M74" i="15"/>
  <c r="L151" i="20"/>
  <c r="L73" i="15" s="1"/>
  <c r="T151" i="20"/>
  <c r="T73" i="15" s="1"/>
  <c r="AB151" i="20"/>
  <c r="AB73" i="15" s="1"/>
  <c r="AJ151" i="20"/>
  <c r="AR151" i="20"/>
  <c r="AR73" i="15" s="1"/>
  <c r="AZ151" i="20"/>
  <c r="AZ73" i="15" s="1"/>
  <c r="BH151" i="20"/>
  <c r="BH73" i="15" s="1"/>
  <c r="BP151" i="20"/>
  <c r="BP73" i="15" s="1"/>
  <c r="BX151" i="20"/>
  <c r="BX73" i="15" s="1"/>
  <c r="CF151" i="20"/>
  <c r="CF73" i="15" s="1"/>
  <c r="AM222" i="20"/>
  <c r="AM223" i="20" s="1"/>
  <c r="CH391" i="20"/>
  <c r="CH270" i="20"/>
  <c r="CH272" i="20" s="1"/>
  <c r="CH372" i="20"/>
  <c r="CH374" i="20" s="1"/>
  <c r="K142" i="20"/>
  <c r="S142" i="20"/>
  <c r="AA142" i="20"/>
  <c r="AI142" i="20"/>
  <c r="AQ142" i="20"/>
  <c r="AY142" i="20"/>
  <c r="BG142" i="20"/>
  <c r="BO142" i="20"/>
  <c r="BW142" i="20"/>
  <c r="CE142" i="20"/>
  <c r="BM142" i="20"/>
  <c r="M73" i="15"/>
  <c r="U151" i="20"/>
  <c r="U73" i="15" s="1"/>
  <c r="AC151" i="20"/>
  <c r="AC73" i="15" s="1"/>
  <c r="AK151" i="20"/>
  <c r="AK73" i="15" s="1"/>
  <c r="AS151" i="20"/>
  <c r="AS73" i="15" s="1"/>
  <c r="BA151" i="20"/>
  <c r="BA73" i="15" s="1"/>
  <c r="BI151" i="20"/>
  <c r="BI73" i="15" s="1"/>
  <c r="BQ151" i="20"/>
  <c r="BQ73" i="15" s="1"/>
  <c r="BY151" i="20"/>
  <c r="BY73" i="15" s="1"/>
  <c r="CG151" i="20"/>
  <c r="CG73" i="15" s="1"/>
  <c r="N379" i="20"/>
  <c r="N139" i="20"/>
  <c r="V379" i="20"/>
  <c r="V139" i="20"/>
  <c r="AD379" i="20"/>
  <c r="AD139" i="20"/>
  <c r="AL379" i="20"/>
  <c r="AL139" i="20"/>
  <c r="AT379" i="20"/>
  <c r="AT139" i="20"/>
  <c r="BB379" i="20"/>
  <c r="BB139" i="20"/>
  <c r="BJ379" i="20"/>
  <c r="BJ139" i="20"/>
  <c r="BR379" i="20"/>
  <c r="BR139" i="20"/>
  <c r="BZ379" i="20"/>
  <c r="BZ139" i="20"/>
  <c r="CH379" i="20"/>
  <c r="CH139" i="20"/>
  <c r="L377" i="20"/>
  <c r="L142" i="20"/>
  <c r="L140" i="20"/>
  <c r="T377" i="20"/>
  <c r="T142" i="20"/>
  <c r="T140" i="20"/>
  <c r="AB377" i="20"/>
  <c r="AB142" i="20"/>
  <c r="AB140" i="20"/>
  <c r="AJ377" i="20"/>
  <c r="AJ142" i="20"/>
  <c r="AJ140" i="20"/>
  <c r="AR377" i="20"/>
  <c r="AR142" i="20"/>
  <c r="AR140" i="20"/>
  <c r="AZ377" i="20"/>
  <c r="AZ142" i="20"/>
  <c r="AZ140" i="20"/>
  <c r="BH377" i="20"/>
  <c r="BH142" i="20"/>
  <c r="BH140" i="20"/>
  <c r="BP377" i="20"/>
  <c r="BP142" i="20"/>
  <c r="BP140" i="20"/>
  <c r="BX377" i="20"/>
  <c r="BX142" i="20"/>
  <c r="BX140" i="20"/>
  <c r="CF377" i="20"/>
  <c r="CF142" i="20"/>
  <c r="CF140" i="20"/>
  <c r="K378" i="20"/>
  <c r="K141" i="20"/>
  <c r="S378" i="20"/>
  <c r="S141" i="20"/>
  <c r="AA378" i="20"/>
  <c r="AI378" i="20"/>
  <c r="AQ378" i="20"/>
  <c r="AY378" i="20"/>
  <c r="BG378" i="20"/>
  <c r="BO378" i="20"/>
  <c r="BW378" i="20"/>
  <c r="CE378" i="20"/>
  <c r="BM391" i="20"/>
  <c r="BM270" i="20"/>
  <c r="BM272" i="20" s="1"/>
  <c r="G379" i="20"/>
  <c r="O379" i="20"/>
  <c r="O139" i="20"/>
  <c r="W379" i="20"/>
  <c r="W139" i="20"/>
  <c r="AE379" i="20"/>
  <c r="AE139" i="20"/>
  <c r="AM379" i="20"/>
  <c r="AM139" i="20"/>
  <c r="AU379" i="20"/>
  <c r="AU139" i="20"/>
  <c r="BC379" i="20"/>
  <c r="BC139" i="20"/>
  <c r="BK379" i="20"/>
  <c r="BK139" i="20"/>
  <c r="BS379" i="20"/>
  <c r="BS139" i="20"/>
  <c r="CA379" i="20"/>
  <c r="CA139" i="20"/>
  <c r="CI379" i="20"/>
  <c r="CI139" i="20"/>
  <c r="M377" i="20"/>
  <c r="U377" i="20"/>
  <c r="U142" i="20"/>
  <c r="U140" i="20"/>
  <c r="AC377" i="20"/>
  <c r="AC142" i="20"/>
  <c r="AC140" i="20"/>
  <c r="AK377" i="20"/>
  <c r="AK142" i="20"/>
  <c r="AK140" i="20"/>
  <c r="AS377" i="20"/>
  <c r="AS142" i="20"/>
  <c r="AS140" i="20"/>
  <c r="BA377" i="20"/>
  <c r="BA142" i="20"/>
  <c r="BA140" i="20"/>
  <c r="BI377" i="20"/>
  <c r="BI142" i="20"/>
  <c r="BI140" i="20"/>
  <c r="BQ377" i="20"/>
  <c r="BQ142" i="20"/>
  <c r="BQ140" i="20"/>
  <c r="BY377" i="20"/>
  <c r="BY142" i="20"/>
  <c r="BY140" i="20"/>
  <c r="CG377" i="20"/>
  <c r="CG142" i="20"/>
  <c r="CG140" i="20"/>
  <c r="L378" i="20"/>
  <c r="L141" i="20"/>
  <c r="T378" i="20"/>
  <c r="T141" i="20"/>
  <c r="AB378" i="20"/>
  <c r="AJ378" i="20"/>
  <c r="AR378" i="20"/>
  <c r="AZ378" i="20"/>
  <c r="BH378" i="20"/>
  <c r="BP378" i="20"/>
  <c r="BX378" i="20"/>
  <c r="CF378" i="20"/>
  <c r="AP391" i="20"/>
  <c r="AP270" i="20"/>
  <c r="AP272" i="20" s="1"/>
  <c r="H379" i="20"/>
  <c r="P379" i="20"/>
  <c r="X379" i="20"/>
  <c r="AF379" i="20"/>
  <c r="AN379" i="20"/>
  <c r="AV379" i="20"/>
  <c r="BD379" i="20"/>
  <c r="BL379" i="20"/>
  <c r="BT379" i="20"/>
  <c r="CB379" i="20"/>
  <c r="N377" i="20"/>
  <c r="N142" i="20"/>
  <c r="N140" i="20"/>
  <c r="V377" i="20"/>
  <c r="V142" i="20"/>
  <c r="V140" i="20"/>
  <c r="AD377" i="20"/>
  <c r="AD142" i="20"/>
  <c r="AD140" i="20"/>
  <c r="AL377" i="20"/>
  <c r="AL142" i="20"/>
  <c r="AL140" i="20"/>
  <c r="AT377" i="20"/>
  <c r="AT142" i="20"/>
  <c r="AT140" i="20"/>
  <c r="BB377" i="20"/>
  <c r="BB142" i="20"/>
  <c r="BB140" i="20"/>
  <c r="BJ377" i="20"/>
  <c r="BJ142" i="20"/>
  <c r="BJ140" i="20"/>
  <c r="BR377" i="20"/>
  <c r="BR142" i="20"/>
  <c r="BR140" i="20"/>
  <c r="BZ377" i="20"/>
  <c r="BZ142" i="20"/>
  <c r="BZ140" i="20"/>
  <c r="CH377" i="20"/>
  <c r="CH142" i="20"/>
  <c r="CH140" i="20"/>
  <c r="M378" i="20"/>
  <c r="U378" i="20"/>
  <c r="U141" i="20"/>
  <c r="AC378" i="20"/>
  <c r="AK378" i="20"/>
  <c r="AS378" i="20"/>
  <c r="BA378" i="20"/>
  <c r="BI378" i="20"/>
  <c r="BQ378" i="20"/>
  <c r="BY378" i="20"/>
  <c r="CG378" i="20"/>
  <c r="O212" i="20"/>
  <c r="O309" i="20" s="1"/>
  <c r="O312" i="20" s="1"/>
  <c r="O313" i="20" s="1"/>
  <c r="O400" i="20" s="1"/>
  <c r="O222" i="20"/>
  <c r="O223" i="20" s="1"/>
  <c r="W212" i="20"/>
  <c r="W309" i="20" s="1"/>
  <c r="W312" i="20" s="1"/>
  <c r="W222" i="20"/>
  <c r="W223" i="20" s="1"/>
  <c r="AE212" i="20"/>
  <c r="AE309" i="20" s="1"/>
  <c r="AE312" i="20" s="1"/>
  <c r="AE222" i="20"/>
  <c r="AE223" i="20" s="1"/>
  <c r="AU212" i="20"/>
  <c r="AU222" i="20"/>
  <c r="AU223" i="20" s="1"/>
  <c r="BC212" i="20"/>
  <c r="BC222" i="20"/>
  <c r="BC223" i="20" s="1"/>
  <c r="BK212" i="20"/>
  <c r="BK222" i="20"/>
  <c r="BK223" i="20" s="1"/>
  <c r="BS212" i="20"/>
  <c r="BS222" i="20"/>
  <c r="BS223" i="20" s="1"/>
  <c r="CA212" i="20"/>
  <c r="CA222" i="20"/>
  <c r="CA223" i="20" s="1"/>
  <c r="CI212" i="20"/>
  <c r="CI222" i="20"/>
  <c r="CI223" i="20" s="1"/>
  <c r="U391" i="20"/>
  <c r="U270" i="20"/>
  <c r="U272" i="20" s="1"/>
  <c r="BU389" i="20"/>
  <c r="BU390" i="20" s="1"/>
  <c r="BU392" i="20" s="1"/>
  <c r="CC389" i="20"/>
  <c r="CC390" i="20" s="1"/>
  <c r="AX379" i="20"/>
  <c r="BF379" i="20"/>
  <c r="BN379" i="20"/>
  <c r="BV379" i="20"/>
  <c r="CD379" i="20"/>
  <c r="I391" i="20"/>
  <c r="Y391" i="20"/>
  <c r="Y270" i="20"/>
  <c r="Y272" i="20" s="1"/>
  <c r="BE391" i="20"/>
  <c r="BE270" i="20"/>
  <c r="BE272" i="20" s="1"/>
  <c r="CD391" i="20"/>
  <c r="CD270" i="20"/>
  <c r="CD272" i="20" s="1"/>
  <c r="Z391" i="20"/>
  <c r="Z270" i="20"/>
  <c r="Z272" i="20" s="1"/>
  <c r="BQ391" i="20"/>
  <c r="BQ270" i="20"/>
  <c r="BQ272" i="20" s="1"/>
  <c r="K379" i="20"/>
  <c r="S379" i="20"/>
  <c r="AA379" i="20"/>
  <c r="AI379" i="20"/>
  <c r="AQ379" i="20"/>
  <c r="AY379" i="20"/>
  <c r="BG379" i="20"/>
  <c r="BO379" i="20"/>
  <c r="BW379" i="20"/>
  <c r="CE379" i="20"/>
  <c r="K222" i="20"/>
  <c r="K223" i="20" s="1"/>
  <c r="BN391" i="20"/>
  <c r="BN270" i="20"/>
  <c r="BN272" i="20" s="1"/>
  <c r="S212" i="20"/>
  <c r="S309" i="20" s="1"/>
  <c r="S312" i="20" s="1"/>
  <c r="S222" i="20"/>
  <c r="S223" i="20" s="1"/>
  <c r="AI212" i="20"/>
  <c r="AI309" i="20" s="1"/>
  <c r="AI312" i="20" s="1"/>
  <c r="AI313" i="20" s="1"/>
  <c r="AI222" i="20"/>
  <c r="AI223" i="20" s="1"/>
  <c r="AY212" i="20"/>
  <c r="AY222" i="20"/>
  <c r="AY223" i="20" s="1"/>
  <c r="BO212" i="20"/>
  <c r="BO222" i="20"/>
  <c r="BO223" i="20" s="1"/>
  <c r="CE212" i="20"/>
  <c r="CE222" i="20"/>
  <c r="CE223" i="20" s="1"/>
  <c r="AX391" i="20"/>
  <c r="AX270" i="20"/>
  <c r="AX272" i="20" s="1"/>
  <c r="J391" i="20"/>
  <c r="J270" i="20"/>
  <c r="J272" i="20" s="1"/>
  <c r="BA391" i="20"/>
  <c r="BA270" i="20"/>
  <c r="BA272" i="20" s="1"/>
  <c r="BV391" i="20"/>
  <c r="BV270" i="20"/>
  <c r="BV272" i="20" s="1"/>
  <c r="M379" i="20"/>
  <c r="U379" i="20"/>
  <c r="AC379" i="20"/>
  <c r="AK379" i="20"/>
  <c r="AS379" i="20"/>
  <c r="BA379" i="20"/>
  <c r="BI379" i="20"/>
  <c r="BQ379" i="20"/>
  <c r="BY379" i="20"/>
  <c r="CG379" i="20"/>
  <c r="K377" i="20"/>
  <c r="S377" i="20"/>
  <c r="AA377" i="20"/>
  <c r="AI377" i="20"/>
  <c r="AQ377" i="20"/>
  <c r="AY377" i="20"/>
  <c r="BG377" i="20"/>
  <c r="BO377" i="20"/>
  <c r="BW377" i="20"/>
  <c r="CE377" i="20"/>
  <c r="J378" i="20"/>
  <c r="R378" i="20"/>
  <c r="Z378" i="20"/>
  <c r="AH378" i="20"/>
  <c r="AP378" i="20"/>
  <c r="AX378" i="20"/>
  <c r="BF378" i="20"/>
  <c r="BN378" i="20"/>
  <c r="BV378" i="20"/>
  <c r="CD378" i="20"/>
  <c r="L391" i="20"/>
  <c r="L270" i="20"/>
  <c r="L272" i="20" s="1"/>
  <c r="T391" i="20"/>
  <c r="T270" i="20"/>
  <c r="T272" i="20" s="1"/>
  <c r="AR391" i="20"/>
  <c r="AR270" i="20"/>
  <c r="AR272" i="20" s="1"/>
  <c r="AZ391" i="20"/>
  <c r="AZ270" i="20"/>
  <c r="AZ272" i="20" s="1"/>
  <c r="BP391" i="20"/>
  <c r="BP270" i="20"/>
  <c r="BP272" i="20" s="1"/>
  <c r="BX391" i="20"/>
  <c r="BX270" i="20"/>
  <c r="BX272" i="20" s="1"/>
  <c r="CF391" i="20"/>
  <c r="CF270" i="20"/>
  <c r="CF272" i="20" s="1"/>
  <c r="AH391" i="20"/>
  <c r="AH270" i="20"/>
  <c r="AH272" i="20" s="1"/>
  <c r="AG391" i="20"/>
  <c r="AG270" i="20"/>
  <c r="AG272" i="20" s="1"/>
  <c r="M391" i="20"/>
  <c r="M270" i="20"/>
  <c r="M272" i="20" s="1"/>
  <c r="AC391" i="20"/>
  <c r="AC270" i="20"/>
  <c r="AC272" i="20" s="1"/>
  <c r="AS391" i="20"/>
  <c r="AS270" i="20"/>
  <c r="AS272" i="20" s="1"/>
  <c r="BI391" i="20"/>
  <c r="BI270" i="20"/>
  <c r="BI272" i="20" s="1"/>
  <c r="BY391" i="20"/>
  <c r="BY270" i="20"/>
  <c r="BY272" i="20" s="1"/>
  <c r="R391" i="20"/>
  <c r="R270" i="20"/>
  <c r="R272" i="20" s="1"/>
  <c r="AK391" i="20"/>
  <c r="AK270" i="20"/>
  <c r="AK272" i="20" s="1"/>
  <c r="BF391" i="20"/>
  <c r="BF270" i="20"/>
  <c r="BF272" i="20" s="1"/>
  <c r="L212" i="20"/>
  <c r="L309" i="20" s="1"/>
  <c r="L312" i="20" s="1"/>
  <c r="AR212" i="20"/>
  <c r="AR309" i="20" s="1"/>
  <c r="AR312" i="20" s="1"/>
  <c r="AR313" i="20" s="1"/>
  <c r="BX212" i="20"/>
  <c r="AO391" i="20"/>
  <c r="AO270" i="20"/>
  <c r="AO272" i="20" s="1"/>
  <c r="BU391" i="20"/>
  <c r="BU270" i="20"/>
  <c r="BU272" i="20" s="1"/>
  <c r="L390" i="20"/>
  <c r="L392" i="20" s="1"/>
  <c r="T390" i="20"/>
  <c r="T392" i="20" s="1"/>
  <c r="AB390" i="20"/>
  <c r="AB392" i="20" s="1"/>
  <c r="AJ390" i="20"/>
  <c r="AJ392" i="20" s="1"/>
  <c r="AR390" i="20"/>
  <c r="AR392" i="20" s="1"/>
  <c r="AZ390" i="20"/>
  <c r="AZ392" i="20" s="1"/>
  <c r="BH390" i="20"/>
  <c r="BH392" i="20" s="1"/>
  <c r="BP390" i="20"/>
  <c r="BP392" i="20" s="1"/>
  <c r="BX390" i="20"/>
  <c r="BX392" i="20" s="1"/>
  <c r="CF390" i="20"/>
  <c r="CF392" i="20" s="1"/>
  <c r="AK212" i="20"/>
  <c r="AK309" i="20" s="1"/>
  <c r="AK312" i="20" s="1"/>
  <c r="BQ212" i="20"/>
  <c r="J389" i="20"/>
  <c r="J390" i="20" s="1"/>
  <c r="J392" i="20" s="1"/>
  <c r="R389" i="20"/>
  <c r="R390" i="20" s="1"/>
  <c r="R392" i="20" s="1"/>
  <c r="Z389" i="20"/>
  <c r="Z390" i="20" s="1"/>
  <c r="Z392" i="20" s="1"/>
  <c r="AH389" i="20"/>
  <c r="AH390" i="20" s="1"/>
  <c r="AH392" i="20" s="1"/>
  <c r="AP389" i="20"/>
  <c r="AP390" i="20" s="1"/>
  <c r="AX389" i="20"/>
  <c r="AX390" i="20" s="1"/>
  <c r="AX392" i="20" s="1"/>
  <c r="BF389" i="20"/>
  <c r="BF390" i="20" s="1"/>
  <c r="BF392" i="20" s="1"/>
  <c r="BN389" i="20"/>
  <c r="BN390" i="20" s="1"/>
  <c r="BN392" i="20" s="1"/>
  <c r="BV389" i="20"/>
  <c r="BV390" i="20" s="1"/>
  <c r="BV392" i="20" s="1"/>
  <c r="CD389" i="20"/>
  <c r="CD390" i="20" s="1"/>
  <c r="CD392" i="20" s="1"/>
  <c r="H264" i="20"/>
  <c r="Q212" i="20"/>
  <c r="Q309" i="20" s="1"/>
  <c r="Q312" i="20" s="1"/>
  <c r="AW212" i="20"/>
  <c r="H390" i="20"/>
  <c r="H392" i="20" s="1"/>
  <c r="P390" i="20"/>
  <c r="P392" i="20" s="1"/>
  <c r="X390" i="20"/>
  <c r="X392" i="20" s="1"/>
  <c r="AF390" i="20"/>
  <c r="AF392" i="20" s="1"/>
  <c r="AN390" i="20"/>
  <c r="AN392" i="20" s="1"/>
  <c r="AV390" i="20"/>
  <c r="AV392" i="20" s="1"/>
  <c r="BD390" i="20"/>
  <c r="BD392" i="20" s="1"/>
  <c r="BL390" i="20"/>
  <c r="BL392" i="20" s="1"/>
  <c r="BT390" i="20"/>
  <c r="BT392" i="20" s="1"/>
  <c r="CB390" i="20"/>
  <c r="CB392" i="20" s="1"/>
  <c r="Q391" i="20"/>
  <c r="Q270" i="20"/>
  <c r="Q272" i="20" s="1"/>
  <c r="AW391" i="20"/>
  <c r="AW270" i="20"/>
  <c r="AW272" i="20" s="1"/>
  <c r="CC391" i="20"/>
  <c r="CC270" i="20"/>
  <c r="CC272" i="20" s="1"/>
  <c r="N389" i="20"/>
  <c r="N390" i="20" s="1"/>
  <c r="V389" i="20"/>
  <c r="V390" i="20" s="1"/>
  <c r="AD389" i="20"/>
  <c r="AD390" i="20" s="1"/>
  <c r="AD392" i="20" s="1"/>
  <c r="AL389" i="20"/>
  <c r="AL390" i="20" s="1"/>
  <c r="AL392" i="20" s="1"/>
  <c r="AT389" i="20"/>
  <c r="AT390" i="20" s="1"/>
  <c r="BB389" i="20"/>
  <c r="BB390" i="20" s="1"/>
  <c r="BJ389" i="20"/>
  <c r="BJ390" i="20" s="1"/>
  <c r="BJ392" i="20" s="1"/>
  <c r="BR389" i="20"/>
  <c r="BR390" i="20" s="1"/>
  <c r="BR392" i="20" s="1"/>
  <c r="BZ389" i="20"/>
  <c r="BZ390" i="20" s="1"/>
  <c r="CH389" i="20"/>
  <c r="CH390" i="20" s="1"/>
  <c r="H257" i="20"/>
  <c r="H243" i="20" s="1"/>
  <c r="M390" i="20"/>
  <c r="M392" i="20" s="1"/>
  <c r="U390" i="20"/>
  <c r="U392" i="20" s="1"/>
  <c r="AC390" i="20"/>
  <c r="AC392" i="20" s="1"/>
  <c r="AK390" i="20"/>
  <c r="AK392" i="20" s="1"/>
  <c r="AS390" i="20"/>
  <c r="AS392" i="20" s="1"/>
  <c r="BA390" i="20"/>
  <c r="BA392" i="20" s="1"/>
  <c r="BI390" i="20"/>
  <c r="BI392" i="20" s="1"/>
  <c r="BQ390" i="20"/>
  <c r="BQ392" i="20" s="1"/>
  <c r="BY390" i="20"/>
  <c r="BY392" i="20" s="1"/>
  <c r="CG390" i="20"/>
  <c r="CG392" i="20" s="1"/>
  <c r="K390" i="20"/>
  <c r="K392" i="20" s="1"/>
  <c r="S390" i="20"/>
  <c r="S392" i="20" s="1"/>
  <c r="AA390" i="20"/>
  <c r="AA392" i="20" s="1"/>
  <c r="AI390" i="20"/>
  <c r="AI392" i="20" s="1"/>
  <c r="AQ390" i="20"/>
  <c r="AQ392" i="20" s="1"/>
  <c r="AY390" i="20"/>
  <c r="AY392" i="20" s="1"/>
  <c r="BG390" i="20"/>
  <c r="BG392" i="20" s="1"/>
  <c r="BO390" i="20"/>
  <c r="BO392" i="20" s="1"/>
  <c r="BW390" i="20"/>
  <c r="BW392" i="20" s="1"/>
  <c r="CE390" i="20"/>
  <c r="CE392" i="20" s="1"/>
  <c r="CG320" i="20"/>
  <c r="J395" i="20"/>
  <c r="J321" i="20"/>
  <c r="R395" i="20"/>
  <c r="R321" i="20"/>
  <c r="R323" i="20"/>
  <c r="Z395" i="20"/>
  <c r="Z321" i="20"/>
  <c r="Z323" i="20"/>
  <c r="AH395" i="20"/>
  <c r="AH321" i="20"/>
  <c r="AP395" i="20"/>
  <c r="AP321" i="20"/>
  <c r="AP323" i="20"/>
  <c r="AX395" i="20"/>
  <c r="AX321" i="20"/>
  <c r="AX323" i="20"/>
  <c r="BF395" i="20"/>
  <c r="BF321" i="20"/>
  <c r="BF323" i="20"/>
  <c r="BN395" i="20"/>
  <c r="BN321" i="20"/>
  <c r="BN323" i="20"/>
  <c r="BV395" i="20"/>
  <c r="BV321" i="20"/>
  <c r="CD395" i="20"/>
  <c r="CD321" i="20"/>
  <c r="CD323" i="20"/>
  <c r="I396" i="20"/>
  <c r="I322" i="20"/>
  <c r="Q396" i="20"/>
  <c r="Q322" i="20"/>
  <c r="Y396" i="20"/>
  <c r="Y322" i="20"/>
  <c r="AG396" i="20"/>
  <c r="AG322" i="20"/>
  <c r="AO396" i="20"/>
  <c r="AO322" i="20"/>
  <c r="AW396" i="20"/>
  <c r="AW322" i="20"/>
  <c r="BE396" i="20"/>
  <c r="BE322" i="20"/>
  <c r="BM396" i="20"/>
  <c r="BM322" i="20"/>
  <c r="BU396" i="20"/>
  <c r="BU322" i="20"/>
  <c r="CC396" i="20"/>
  <c r="CC322" i="20"/>
  <c r="P320" i="20"/>
  <c r="X320" i="20"/>
  <c r="AN320" i="20"/>
  <c r="AV320" i="20"/>
  <c r="BD320" i="20"/>
  <c r="BL320" i="20"/>
  <c r="CB320" i="20"/>
  <c r="BE320" i="20"/>
  <c r="AJ303" i="20"/>
  <c r="M397" i="20"/>
  <c r="M320" i="20"/>
  <c r="AC397" i="20"/>
  <c r="AC320" i="20"/>
  <c r="AK397" i="20"/>
  <c r="AK320" i="20"/>
  <c r="AS397" i="20"/>
  <c r="AS320" i="20"/>
  <c r="BA397" i="20"/>
  <c r="BA320" i="20"/>
  <c r="BQ397" i="20"/>
  <c r="BQ320" i="20"/>
  <c r="BY397" i="20"/>
  <c r="BY320" i="20"/>
  <c r="K395" i="20"/>
  <c r="K321" i="20"/>
  <c r="K323" i="20"/>
  <c r="S395" i="20"/>
  <c r="S321" i="20"/>
  <c r="S323" i="20"/>
  <c r="AA395" i="20"/>
  <c r="AA321" i="20"/>
  <c r="AA323" i="20"/>
  <c r="AI395" i="20"/>
  <c r="AI321" i="20"/>
  <c r="AQ395" i="20"/>
  <c r="AQ321" i="20"/>
  <c r="AQ323" i="20"/>
  <c r="AY395" i="20"/>
  <c r="AY321" i="20"/>
  <c r="AY323" i="20"/>
  <c r="BG395" i="20"/>
  <c r="BG321" i="20"/>
  <c r="BO395" i="20"/>
  <c r="BO321" i="20"/>
  <c r="BO323" i="20"/>
  <c r="BW395" i="20"/>
  <c r="BW321" i="20"/>
  <c r="BW323" i="20"/>
  <c r="CE395" i="20"/>
  <c r="CE321" i="20"/>
  <c r="CE323" i="20"/>
  <c r="J396" i="20"/>
  <c r="J322" i="20"/>
  <c r="R396" i="20"/>
  <c r="R322" i="20"/>
  <c r="Z396" i="20"/>
  <c r="Z322" i="20"/>
  <c r="AH396" i="20"/>
  <c r="AH322" i="20"/>
  <c r="AP396" i="20"/>
  <c r="AP322" i="20"/>
  <c r="AX396" i="20"/>
  <c r="AX322" i="20"/>
  <c r="BF396" i="20"/>
  <c r="BF322" i="20"/>
  <c r="BN396" i="20"/>
  <c r="BN322" i="20"/>
  <c r="BV396" i="20"/>
  <c r="BV322" i="20"/>
  <c r="CD396" i="20"/>
  <c r="CD322" i="20"/>
  <c r="I320" i="20"/>
  <c r="Q320" i="20"/>
  <c r="Y320" i="20"/>
  <c r="AO320" i="20"/>
  <c r="AW320" i="20"/>
  <c r="BM320" i="20"/>
  <c r="BU320" i="20"/>
  <c r="CC320" i="20"/>
  <c r="BI320" i="20"/>
  <c r="BG323" i="20"/>
  <c r="J320" i="20"/>
  <c r="R320" i="20"/>
  <c r="Z320" i="20"/>
  <c r="AH320" i="20"/>
  <c r="AP320" i="20"/>
  <c r="AX320" i="20"/>
  <c r="BF320" i="20"/>
  <c r="BN320" i="20"/>
  <c r="BV320" i="20"/>
  <c r="CD320" i="20"/>
  <c r="T321" i="20"/>
  <c r="AS321" i="20"/>
  <c r="BR321" i="20"/>
  <c r="CF321" i="20"/>
  <c r="AB322" i="20"/>
  <c r="BA322" i="20"/>
  <c r="BO322" i="20"/>
  <c r="V323" i="20"/>
  <c r="AJ323" i="20"/>
  <c r="BI323" i="20"/>
  <c r="CH323" i="20"/>
  <c r="G397" i="20"/>
  <c r="O397" i="20"/>
  <c r="W397" i="20"/>
  <c r="AE397" i="20"/>
  <c r="AM397" i="20"/>
  <c r="AU397" i="20"/>
  <c r="BC397" i="20"/>
  <c r="BK397" i="20"/>
  <c r="BS397" i="20"/>
  <c r="CA397" i="20"/>
  <c r="CI397" i="20"/>
  <c r="K320" i="20"/>
  <c r="S320" i="20"/>
  <c r="AA320" i="20"/>
  <c r="AI320" i="20"/>
  <c r="AQ320" i="20"/>
  <c r="AY320" i="20"/>
  <c r="BG320" i="20"/>
  <c r="BO320" i="20"/>
  <c r="BW320" i="20"/>
  <c r="CE320" i="20"/>
  <c r="U321" i="20"/>
  <c r="AT321" i="20"/>
  <c r="BH321" i="20"/>
  <c r="CG321" i="20"/>
  <c r="AC322" i="20"/>
  <c r="AQ322" i="20"/>
  <c r="L323" i="20"/>
  <c r="AK323" i="20"/>
  <c r="BJ323" i="20"/>
  <c r="BX323" i="20"/>
  <c r="AD303" i="20"/>
  <c r="L320" i="20"/>
  <c r="T320" i="20"/>
  <c r="AB320" i="20"/>
  <c r="AJ320" i="20"/>
  <c r="AR320" i="20"/>
  <c r="AZ320" i="20"/>
  <c r="BH320" i="20"/>
  <c r="BP320" i="20"/>
  <c r="BX320" i="20"/>
  <c r="CF320" i="20"/>
  <c r="N320" i="20"/>
  <c r="BZ320" i="20"/>
  <c r="V321" i="20"/>
  <c r="CH321" i="20"/>
  <c r="M323" i="20"/>
  <c r="AL323" i="20"/>
  <c r="BC303" i="20"/>
  <c r="N332" i="20"/>
  <c r="V332" i="20"/>
  <c r="AD332" i="20"/>
  <c r="AL332" i="20"/>
  <c r="AT332" i="20"/>
  <c r="BB332" i="20"/>
  <c r="BJ332" i="20"/>
  <c r="BR332" i="20"/>
  <c r="BZ332" i="20"/>
  <c r="CH332" i="20"/>
  <c r="I397" i="20"/>
  <c r="Q397" i="20"/>
  <c r="Y397" i="20"/>
  <c r="AG397" i="20"/>
  <c r="AO397" i="20"/>
  <c r="AW397" i="20"/>
  <c r="BE397" i="20"/>
  <c r="BM397" i="20"/>
  <c r="BU397" i="20"/>
  <c r="CC397" i="20"/>
  <c r="G395" i="20"/>
  <c r="G323" i="20"/>
  <c r="O395" i="20"/>
  <c r="O323" i="20"/>
  <c r="W395" i="20"/>
  <c r="W323" i="20"/>
  <c r="AE395" i="20"/>
  <c r="AE323" i="20"/>
  <c r="AM395" i="20"/>
  <c r="AM323" i="20"/>
  <c r="AU395" i="20"/>
  <c r="AU323" i="20"/>
  <c r="BC395" i="20"/>
  <c r="BC323" i="20"/>
  <c r="BK395" i="20"/>
  <c r="BK323" i="20"/>
  <c r="BS395" i="20"/>
  <c r="BS323" i="20"/>
  <c r="CA395" i="20"/>
  <c r="CA323" i="20"/>
  <c r="CI395" i="20"/>
  <c r="CI323" i="20"/>
  <c r="N396" i="20"/>
  <c r="V396" i="20"/>
  <c r="AD396" i="20"/>
  <c r="AL396" i="20"/>
  <c r="AT396" i="20"/>
  <c r="BB396" i="20"/>
  <c r="BJ396" i="20"/>
  <c r="BR396" i="20"/>
  <c r="W321" i="20"/>
  <c r="BJ321" i="20"/>
  <c r="CI321" i="20"/>
  <c r="AS322" i="20"/>
  <c r="N323" i="20"/>
  <c r="BA323" i="20"/>
  <c r="BZ323" i="20"/>
  <c r="AV303" i="20"/>
  <c r="CB303" i="20"/>
  <c r="G332" i="20"/>
  <c r="O332" i="20"/>
  <c r="W332" i="20"/>
  <c r="AE332" i="20"/>
  <c r="AM332" i="20"/>
  <c r="AU332" i="20"/>
  <c r="BC332" i="20"/>
  <c r="BK332" i="20"/>
  <c r="BS332" i="20"/>
  <c r="CA332" i="20"/>
  <c r="CI332" i="20"/>
  <c r="J397" i="20"/>
  <c r="R397" i="20"/>
  <c r="Z397" i="20"/>
  <c r="AH397" i="20"/>
  <c r="AP397" i="20"/>
  <c r="AX397" i="20"/>
  <c r="BF397" i="20"/>
  <c r="BN397" i="20"/>
  <c r="BV397" i="20"/>
  <c r="CD397" i="20"/>
  <c r="H395" i="20"/>
  <c r="H323" i="20"/>
  <c r="P395" i="20"/>
  <c r="P323" i="20"/>
  <c r="X395" i="20"/>
  <c r="X323" i="20"/>
  <c r="AF395" i="20"/>
  <c r="AF323" i="20"/>
  <c r="AN395" i="20"/>
  <c r="AN323" i="20"/>
  <c r="AV395" i="20"/>
  <c r="AV323" i="20"/>
  <c r="BD395" i="20"/>
  <c r="BD323" i="20"/>
  <c r="BL395" i="20"/>
  <c r="BL323" i="20"/>
  <c r="BT395" i="20"/>
  <c r="BT323" i="20"/>
  <c r="CB395" i="20"/>
  <c r="CB323" i="20"/>
  <c r="G396" i="20"/>
  <c r="O396" i="20"/>
  <c r="W396" i="20"/>
  <c r="AE396" i="20"/>
  <c r="AM396" i="20"/>
  <c r="AU396" i="20"/>
  <c r="BC396" i="20"/>
  <c r="BK396" i="20"/>
  <c r="BS396" i="20"/>
  <c r="CA396" i="20"/>
  <c r="CI396" i="20"/>
  <c r="X321" i="20"/>
  <c r="AL321" i="20"/>
  <c r="BK321" i="20"/>
  <c r="G322" i="20"/>
  <c r="U322" i="20"/>
  <c r="AT322" i="20"/>
  <c r="BS322" i="20"/>
  <c r="AC323" i="20"/>
  <c r="BB323" i="20"/>
  <c r="AG303" i="20"/>
  <c r="H332" i="20"/>
  <c r="P332" i="20"/>
  <c r="X332" i="20"/>
  <c r="AF332" i="20"/>
  <c r="AN332" i="20"/>
  <c r="AV332" i="20"/>
  <c r="BD332" i="20"/>
  <c r="BL332" i="20"/>
  <c r="BT332" i="20"/>
  <c r="CB332" i="20"/>
  <c r="K397" i="20"/>
  <c r="S397" i="20"/>
  <c r="AA397" i="20"/>
  <c r="AI397" i="20"/>
  <c r="AQ397" i="20"/>
  <c r="AY397" i="20"/>
  <c r="BG397" i="20"/>
  <c r="BO397" i="20"/>
  <c r="BW397" i="20"/>
  <c r="CE397" i="20"/>
  <c r="I395" i="20"/>
  <c r="I323" i="20"/>
  <c r="I321" i="20"/>
  <c r="Q395" i="20"/>
  <c r="Q323" i="20"/>
  <c r="Q321" i="20"/>
  <c r="Y395" i="20"/>
  <c r="Y323" i="20"/>
  <c r="Y321" i="20"/>
  <c r="AG395" i="20"/>
  <c r="AG323" i="20"/>
  <c r="AG321" i="20"/>
  <c r="AO395" i="20"/>
  <c r="AO323" i="20"/>
  <c r="AO321" i="20"/>
  <c r="AW395" i="20"/>
  <c r="AW323" i="20"/>
  <c r="AW321" i="20"/>
  <c r="BE395" i="20"/>
  <c r="BE323" i="20"/>
  <c r="BE321" i="20"/>
  <c r="BM395" i="20"/>
  <c r="BM323" i="20"/>
  <c r="BM321" i="20"/>
  <c r="BU395" i="20"/>
  <c r="BU323" i="20"/>
  <c r="BU321" i="20"/>
  <c r="CC395" i="20"/>
  <c r="CC323" i="20"/>
  <c r="CC321" i="20"/>
  <c r="H396" i="20"/>
  <c r="H322" i="20"/>
  <c r="P396" i="20"/>
  <c r="P322" i="20"/>
  <c r="X396" i="20"/>
  <c r="X322" i="20"/>
  <c r="AF396" i="20"/>
  <c r="AF322" i="20"/>
  <c r="AN396" i="20"/>
  <c r="AN322" i="20"/>
  <c r="AV396" i="20"/>
  <c r="AV322" i="20"/>
  <c r="BD396" i="20"/>
  <c r="BD322" i="20"/>
  <c r="BL396" i="20"/>
  <c r="BL322" i="20"/>
  <c r="BT396" i="20"/>
  <c r="BT322" i="20"/>
  <c r="CB396" i="20"/>
  <c r="CB322" i="20"/>
  <c r="N321" i="20"/>
  <c r="AD323" i="20"/>
  <c r="I332" i="20"/>
  <c r="Q332" i="20"/>
  <c r="Y332" i="20"/>
  <c r="AG332" i="20"/>
  <c r="AO332" i="20"/>
  <c r="AW332" i="20"/>
  <c r="BE332" i="20"/>
  <c r="BM332" i="20"/>
  <c r="BU332" i="20"/>
  <c r="CC332" i="20"/>
  <c r="H354" i="20"/>
  <c r="BX396" i="20"/>
  <c r="CF396" i="20"/>
  <c r="BY396" i="20"/>
  <c r="CG396" i="20"/>
  <c r="BZ396" i="20"/>
  <c r="CH396" i="20"/>
  <c r="AK19" i="19"/>
  <c r="AJ19" i="19"/>
  <c r="AI19" i="19"/>
  <c r="AH19" i="19"/>
  <c r="AG19" i="19"/>
  <c r="AF19" i="19"/>
  <c r="AE19" i="19"/>
  <c r="AD19" i="19"/>
  <c r="AC19" i="19"/>
  <c r="AB19" i="19"/>
  <c r="AA19" i="19"/>
  <c r="Z19" i="19"/>
  <c r="O19" i="19"/>
  <c r="X19" i="19"/>
  <c r="W19" i="19"/>
  <c r="V19" i="19"/>
  <c r="U19" i="19"/>
  <c r="S19" i="19"/>
  <c r="Q19" i="19"/>
  <c r="T19" i="19"/>
  <c r="R19" i="19"/>
  <c r="P19" i="19"/>
  <c r="N19" i="19"/>
  <c r="M19" i="19"/>
  <c r="L19" i="19"/>
  <c r="K19" i="19"/>
  <c r="J19" i="19"/>
  <c r="U128" i="20" l="1"/>
  <c r="U131" i="20" s="1"/>
  <c r="AC360" i="20"/>
  <c r="BR373" i="20"/>
  <c r="S373" i="20"/>
  <c r="AA89" i="20"/>
  <c r="AA91" i="20" s="1"/>
  <c r="AA65" i="15" s="1"/>
  <c r="AQ373" i="20"/>
  <c r="P23" i="19"/>
  <c r="I71" i="15"/>
  <c r="I80" i="15"/>
  <c r="M23" i="19"/>
  <c r="O23" i="19"/>
  <c r="K23" i="19"/>
  <c r="L23" i="19"/>
  <c r="N23" i="19"/>
  <c r="AT373" i="20"/>
  <c r="T373" i="20"/>
  <c r="AC373" i="20"/>
  <c r="BJ89" i="20"/>
  <c r="BJ91" i="20" s="1"/>
  <c r="BJ65" i="15" s="1"/>
  <c r="AD89" i="20"/>
  <c r="AD91" i="20" s="1"/>
  <c r="AD65" i="15" s="1"/>
  <c r="BP373" i="20"/>
  <c r="L373" i="20"/>
  <c r="BZ89" i="20"/>
  <c r="BZ91" i="20" s="1"/>
  <c r="BZ65" i="15" s="1"/>
  <c r="BJ373" i="20"/>
  <c r="AD373" i="20"/>
  <c r="R373" i="20"/>
  <c r="AR89" i="20"/>
  <c r="AR91" i="20" s="1"/>
  <c r="AR65" i="15" s="1"/>
  <c r="K89" i="20"/>
  <c r="K91" i="20" s="1"/>
  <c r="K65" i="15" s="1"/>
  <c r="J89" i="20"/>
  <c r="J91" i="20" s="1"/>
  <c r="J65" i="15" s="1"/>
  <c r="BQ89" i="20"/>
  <c r="BQ91" i="20" s="1"/>
  <c r="BQ65" i="15" s="1"/>
  <c r="AS373" i="20"/>
  <c r="BZ373" i="20"/>
  <c r="AT89" i="20"/>
  <c r="AT91" i="20" s="1"/>
  <c r="AT65" i="15" s="1"/>
  <c r="AR373" i="20"/>
  <c r="K373" i="20"/>
  <c r="J373" i="20"/>
  <c r="BQ373" i="20"/>
  <c r="AT309" i="20"/>
  <c r="AT312" i="20" s="1"/>
  <c r="AT313" i="20" s="1"/>
  <c r="AT400" i="20" s="1"/>
  <c r="CF373" i="20"/>
  <c r="AL373" i="20"/>
  <c r="AZ373" i="20"/>
  <c r="BI373" i="20"/>
  <c r="BB373" i="20"/>
  <c r="AH373" i="20"/>
  <c r="AK373" i="20"/>
  <c r="CG373" i="20"/>
  <c r="S89" i="20"/>
  <c r="S91" i="20" s="1"/>
  <c r="S65" i="15" s="1"/>
  <c r="BX89" i="20"/>
  <c r="BX91" i="20" s="1"/>
  <c r="BX65" i="15" s="1"/>
  <c r="BH89" i="20"/>
  <c r="BH91" i="20" s="1"/>
  <c r="BH65" i="15" s="1"/>
  <c r="BW89" i="20"/>
  <c r="BW91" i="20" s="1"/>
  <c r="BW65" i="15" s="1"/>
  <c r="AI89" i="20"/>
  <c r="AI91" i="20" s="1"/>
  <c r="AI65" i="15" s="1"/>
  <c r="BG89" i="20"/>
  <c r="BG91" i="20" s="1"/>
  <c r="BG65" i="15" s="1"/>
  <c r="CE89" i="20"/>
  <c r="CE91" i="20" s="1"/>
  <c r="CE65" i="15" s="1"/>
  <c r="BO89" i="20"/>
  <c r="BO91" i="20" s="1"/>
  <c r="BO65" i="15" s="1"/>
  <c r="AY89" i="20"/>
  <c r="AY91" i="20" s="1"/>
  <c r="AY65" i="15" s="1"/>
  <c r="BX373" i="20"/>
  <c r="BH373" i="20"/>
  <c r="BW373" i="20"/>
  <c r="AI373" i="20"/>
  <c r="BG373" i="20"/>
  <c r="CE373" i="20"/>
  <c r="BO373" i="20"/>
  <c r="BR89" i="20"/>
  <c r="BR91" i="20" s="1"/>
  <c r="BR65" i="15" s="1"/>
  <c r="BB89" i="20"/>
  <c r="BB91" i="20" s="1"/>
  <c r="BB65" i="15" s="1"/>
  <c r="AL89" i="20"/>
  <c r="AL91" i="20" s="1"/>
  <c r="AL65" i="15" s="1"/>
  <c r="AY373" i="20"/>
  <c r="BP89" i="20"/>
  <c r="BP91" i="20" s="1"/>
  <c r="BP65" i="15" s="1"/>
  <c r="AZ89" i="20"/>
  <c r="AZ91" i="20" s="1"/>
  <c r="AZ65" i="15" s="1"/>
  <c r="AK89" i="20"/>
  <c r="AK91" i="20" s="1"/>
  <c r="AK65" i="15" s="1"/>
  <c r="BI89" i="20"/>
  <c r="BI91" i="20" s="1"/>
  <c r="BI65" i="15" s="1"/>
  <c r="CG89" i="20"/>
  <c r="CG91" i="20" s="1"/>
  <c r="CG65" i="15" s="1"/>
  <c r="AS89" i="20"/>
  <c r="AS91" i="20" s="1"/>
  <c r="AS65" i="15" s="1"/>
  <c r="AQ89" i="20"/>
  <c r="AQ91" i="20" s="1"/>
  <c r="AQ65" i="15" s="1"/>
  <c r="AC89" i="20"/>
  <c r="AC91" i="20" s="1"/>
  <c r="AC65" i="15" s="1"/>
  <c r="AB89" i="20"/>
  <c r="AB91" i="20" s="1"/>
  <c r="AB65" i="15" s="1"/>
  <c r="AB373" i="20"/>
  <c r="AA373" i="20"/>
  <c r="Z89" i="20"/>
  <c r="Z91" i="20" s="1"/>
  <c r="Z65" i="15" s="1"/>
  <c r="Z373" i="20"/>
  <c r="T89" i="20"/>
  <c r="T91" i="20" s="1"/>
  <c r="T65" i="15" s="1"/>
  <c r="R89" i="20"/>
  <c r="R91" i="20" s="1"/>
  <c r="R65" i="15" s="1"/>
  <c r="N89" i="20"/>
  <c r="N91" i="20" s="1"/>
  <c r="N65" i="15" s="1"/>
  <c r="M89" i="20"/>
  <c r="M91" i="20" s="1"/>
  <c r="M65" i="15" s="1"/>
  <c r="M373" i="20"/>
  <c r="AA76" i="15"/>
  <c r="L76" i="15"/>
  <c r="BA373" i="20"/>
  <c r="AF76" i="15"/>
  <c r="V76" i="15"/>
  <c r="AK76" i="15"/>
  <c r="CH89" i="20"/>
  <c r="CH91" i="20" s="1"/>
  <c r="CH65" i="15" s="1"/>
  <c r="V89" i="20"/>
  <c r="V91" i="20" s="1"/>
  <c r="V65" i="15" s="1"/>
  <c r="AJ89" i="20"/>
  <c r="AJ91" i="20" s="1"/>
  <c r="AJ65" i="15" s="1"/>
  <c r="CH373" i="20"/>
  <c r="AJ373" i="20"/>
  <c r="BA89" i="20"/>
  <c r="BA91" i="20" s="1"/>
  <c r="BA65" i="15" s="1"/>
  <c r="V373" i="20"/>
  <c r="AN132" i="20"/>
  <c r="AN179" i="20" s="1"/>
  <c r="AN181" i="20" s="1"/>
  <c r="AN78" i="15" s="1"/>
  <c r="AN76" i="15"/>
  <c r="AE132" i="20"/>
  <c r="AE77" i="15" s="1"/>
  <c r="AE76" i="15"/>
  <c r="AL132" i="20"/>
  <c r="AL77" i="15" s="1"/>
  <c r="AL76" i="15"/>
  <c r="Z132" i="20"/>
  <c r="Z77" i="15" s="1"/>
  <c r="Z76" i="15"/>
  <c r="AP42" i="20"/>
  <c r="AP64" i="15" s="1"/>
  <c r="AP63" i="15"/>
  <c r="CD42" i="20"/>
  <c r="CD64" i="15" s="1"/>
  <c r="CD63" i="15"/>
  <c r="BY89" i="20"/>
  <c r="BY91" i="20" s="1"/>
  <c r="BY65" i="15" s="1"/>
  <c r="I82" i="20"/>
  <c r="CC42" i="20"/>
  <c r="CC373" i="20" s="1"/>
  <c r="CC63" i="15"/>
  <c r="BU42" i="20"/>
  <c r="BU63" i="15"/>
  <c r="BM42" i="20"/>
  <c r="BM63" i="15"/>
  <c r="BE42" i="20"/>
  <c r="BE373" i="20" s="1"/>
  <c r="BE63" i="15"/>
  <c r="AW42" i="20"/>
  <c r="AW89" i="20" s="1"/>
  <c r="AW91" i="20" s="1"/>
  <c r="AW65" i="15" s="1"/>
  <c r="AW63" i="15"/>
  <c r="AO42" i="20"/>
  <c r="AO63" i="15"/>
  <c r="AG42" i="20"/>
  <c r="AG63" i="15"/>
  <c r="Y42" i="20"/>
  <c r="Y63" i="15"/>
  <c r="I42" i="20"/>
  <c r="I89" i="20" s="1"/>
  <c r="I91" i="20" s="1"/>
  <c r="I65" i="15" s="1"/>
  <c r="I63" i="15"/>
  <c r="G132" i="20"/>
  <c r="G77" i="15" s="1"/>
  <c r="G76" i="15"/>
  <c r="AC132" i="20"/>
  <c r="AC179" i="20" s="1"/>
  <c r="AC181" i="20" s="1"/>
  <c r="AC78" i="15" s="1"/>
  <c r="AC76" i="15"/>
  <c r="BV42" i="20"/>
  <c r="BV64" i="15" s="1"/>
  <c r="BV63" i="15"/>
  <c r="X132" i="20"/>
  <c r="X179" i="20" s="1"/>
  <c r="X181" i="20" s="1"/>
  <c r="X78" i="15" s="1"/>
  <c r="X76" i="15"/>
  <c r="AD132" i="20"/>
  <c r="AD77" i="15" s="1"/>
  <c r="AD76" i="15"/>
  <c r="AJ132" i="20"/>
  <c r="AJ77" i="15" s="1"/>
  <c r="AJ76" i="15"/>
  <c r="AP132" i="20"/>
  <c r="AP77" i="15" s="1"/>
  <c r="AP76" i="15"/>
  <c r="BY373" i="20"/>
  <c r="AX42" i="20"/>
  <c r="AX64" i="15" s="1"/>
  <c r="AX63" i="15"/>
  <c r="BF42" i="20"/>
  <c r="BF64" i="15" s="1"/>
  <c r="BF63" i="15"/>
  <c r="U89" i="20"/>
  <c r="U91" i="20" s="1"/>
  <c r="U65" i="15" s="1"/>
  <c r="AO132" i="20"/>
  <c r="AO77" i="15" s="1"/>
  <c r="AO76" i="15"/>
  <c r="Y132" i="20"/>
  <c r="Y77" i="15" s="1"/>
  <c r="Y76" i="15"/>
  <c r="I132" i="20"/>
  <c r="I77" i="15" s="1"/>
  <c r="I76" i="15"/>
  <c r="AS132" i="20"/>
  <c r="AS77" i="15" s="1"/>
  <c r="AS76" i="15"/>
  <c r="AU132" i="20"/>
  <c r="AU77" i="15" s="1"/>
  <c r="AU76" i="15"/>
  <c r="G42" i="20"/>
  <c r="G373" i="20" s="1"/>
  <c r="G63" i="15"/>
  <c r="AT132" i="20"/>
  <c r="AT179" i="20" s="1"/>
  <c r="AT181" i="20" s="1"/>
  <c r="AT78" i="15" s="1"/>
  <c r="AT76" i="15"/>
  <c r="H132" i="20"/>
  <c r="H179" i="20" s="1"/>
  <c r="H181" i="20" s="1"/>
  <c r="H78" i="15" s="1"/>
  <c r="H76" i="15"/>
  <c r="AB132" i="20"/>
  <c r="AB77" i="15" s="1"/>
  <c r="AB76" i="15"/>
  <c r="BN42" i="20"/>
  <c r="BN64" i="15" s="1"/>
  <c r="BN63" i="15"/>
  <c r="AH89" i="20"/>
  <c r="AH91" i="20" s="1"/>
  <c r="AH65" i="15" s="1"/>
  <c r="CF89" i="20"/>
  <c r="CF91" i="20" s="1"/>
  <c r="CF65" i="15" s="1"/>
  <c r="U373" i="20"/>
  <c r="CB42" i="20"/>
  <c r="CB373" i="20" s="1"/>
  <c r="CB63" i="15"/>
  <c r="BT42" i="20"/>
  <c r="BT89" i="20" s="1"/>
  <c r="BT91" i="20" s="1"/>
  <c r="BT65" i="15" s="1"/>
  <c r="BT63" i="15"/>
  <c r="BL42" i="20"/>
  <c r="BL373" i="20" s="1"/>
  <c r="BL63" i="15"/>
  <c r="BD42" i="20"/>
  <c r="BD373" i="20" s="1"/>
  <c r="BD63" i="15"/>
  <c r="AV42" i="20"/>
  <c r="AV373" i="20" s="1"/>
  <c r="AV63" i="15"/>
  <c r="AN42" i="20"/>
  <c r="AN373" i="20" s="1"/>
  <c r="AN63" i="15"/>
  <c r="AF42" i="20"/>
  <c r="AF89" i="20" s="1"/>
  <c r="AF91" i="20" s="1"/>
  <c r="AF65" i="15" s="1"/>
  <c r="AF63" i="15"/>
  <c r="X42" i="20"/>
  <c r="X89" i="20" s="1"/>
  <c r="X91" i="20" s="1"/>
  <c r="X65" i="15" s="1"/>
  <c r="X63" i="15"/>
  <c r="H42" i="20"/>
  <c r="H89" i="20" s="1"/>
  <c r="H91" i="20" s="1"/>
  <c r="H65" i="15" s="1"/>
  <c r="H63" i="15"/>
  <c r="AM132" i="20"/>
  <c r="AM77" i="15" s="1"/>
  <c r="AM76" i="15"/>
  <c r="AH122" i="20"/>
  <c r="AP43" i="15"/>
  <c r="CI373" i="20"/>
  <c r="CI64" i="15"/>
  <c r="CA373" i="20"/>
  <c r="CA64" i="15"/>
  <c r="BS373" i="20"/>
  <c r="BS64" i="15"/>
  <c r="BK373" i="20"/>
  <c r="BK64" i="15"/>
  <c r="BC373" i="20"/>
  <c r="BC64" i="15"/>
  <c r="AU373" i="20"/>
  <c r="AU64" i="15"/>
  <c r="AM373" i="20"/>
  <c r="AM64" i="15"/>
  <c r="AE373" i="20"/>
  <c r="AE64" i="15"/>
  <c r="W373" i="20"/>
  <c r="W64" i="15"/>
  <c r="W132" i="20"/>
  <c r="W77" i="15" s="1"/>
  <c r="W76" i="15"/>
  <c r="T132" i="20"/>
  <c r="T77" i="15" s="1"/>
  <c r="T76" i="15"/>
  <c r="R132" i="20"/>
  <c r="R77" i="15" s="1"/>
  <c r="R76" i="15"/>
  <c r="Q132" i="20"/>
  <c r="Q77" i="15" s="1"/>
  <c r="Q76" i="15"/>
  <c r="P42" i="20"/>
  <c r="P89" i="20" s="1"/>
  <c r="P91" i="20" s="1"/>
  <c r="P65" i="15" s="1"/>
  <c r="P63" i="15"/>
  <c r="P132" i="20"/>
  <c r="P77" i="15" s="1"/>
  <c r="P76" i="15"/>
  <c r="Q42" i="20"/>
  <c r="Q89" i="20" s="1"/>
  <c r="Q91" i="20" s="1"/>
  <c r="Q65" i="15" s="1"/>
  <c r="Q63" i="15"/>
  <c r="N132" i="20"/>
  <c r="N179" i="20" s="1"/>
  <c r="N181" i="20" s="1"/>
  <c r="N78" i="15" s="1"/>
  <c r="N76" i="15"/>
  <c r="O132" i="20"/>
  <c r="O77" i="15" s="1"/>
  <c r="O76" i="15"/>
  <c r="O373" i="20"/>
  <c r="O64" i="15"/>
  <c r="N373" i="20"/>
  <c r="M77" i="15"/>
  <c r="M76" i="15"/>
  <c r="L89" i="20"/>
  <c r="L91" i="20" s="1"/>
  <c r="L65" i="15" s="1"/>
  <c r="CI122" i="20"/>
  <c r="BM122" i="20"/>
  <c r="BL122" i="20"/>
  <c r="K122" i="20"/>
  <c r="Z122" i="20"/>
  <c r="Z74" i="15"/>
  <c r="AZ122" i="20"/>
  <c r="AZ74" i="15"/>
  <c r="BD122" i="20"/>
  <c r="BD74" i="15"/>
  <c r="AM122" i="20"/>
  <c r="AM74" i="15"/>
  <c r="AI122" i="20"/>
  <c r="AI74" i="15"/>
  <c r="I122" i="20"/>
  <c r="I74" i="15"/>
  <c r="AN122" i="20"/>
  <c r="AN74" i="15"/>
  <c r="CA380" i="20"/>
  <c r="CA381" i="20" s="1"/>
  <c r="CA383" i="20" s="1"/>
  <c r="CA73" i="15"/>
  <c r="AM380" i="20"/>
  <c r="AM381" i="20" s="1"/>
  <c r="AM383" i="20" s="1"/>
  <c r="AM73" i="15"/>
  <c r="Q380" i="20"/>
  <c r="Q381" i="20" s="1"/>
  <c r="Q383" i="20" s="1"/>
  <c r="Q73" i="15"/>
  <c r="CB380" i="20"/>
  <c r="CB381" i="20" s="1"/>
  <c r="CB383" i="20" s="1"/>
  <c r="CB73" i="15"/>
  <c r="BZ380" i="20"/>
  <c r="BZ381" i="20" s="1"/>
  <c r="BZ383" i="20" s="1"/>
  <c r="BZ73" i="15"/>
  <c r="N380" i="20"/>
  <c r="N381" i="20" s="1"/>
  <c r="N383" i="20" s="1"/>
  <c r="N73" i="15"/>
  <c r="BB122" i="20"/>
  <c r="CD122" i="20"/>
  <c r="CD74" i="15"/>
  <c r="R122" i="20"/>
  <c r="R74" i="15"/>
  <c r="CC122" i="20"/>
  <c r="CC74" i="15"/>
  <c r="AV122" i="20"/>
  <c r="AV74" i="15"/>
  <c r="CH122" i="20"/>
  <c r="CH74" i="15"/>
  <c r="AS122" i="20"/>
  <c r="AS74" i="15"/>
  <c r="BX122" i="20"/>
  <c r="BX74" i="15"/>
  <c r="BS380" i="20"/>
  <c r="BS381" i="20" s="1"/>
  <c r="BS383" i="20" s="1"/>
  <c r="BS73" i="15"/>
  <c r="U122" i="20"/>
  <c r="U74" i="15"/>
  <c r="BW380" i="20"/>
  <c r="BW381" i="20" s="1"/>
  <c r="BW383" i="20" s="1"/>
  <c r="BW73" i="15"/>
  <c r="AI380" i="20"/>
  <c r="AI381" i="20" s="1"/>
  <c r="AI383" i="20" s="1"/>
  <c r="AI73" i="15"/>
  <c r="S380" i="20"/>
  <c r="S381" i="20" s="1"/>
  <c r="S383" i="20" s="1"/>
  <c r="S73" i="15"/>
  <c r="AO380" i="20"/>
  <c r="AO381" i="20" s="1"/>
  <c r="AO383" i="20" s="1"/>
  <c r="AO73" i="15"/>
  <c r="BT380" i="20"/>
  <c r="BT381" i="20" s="1"/>
  <c r="BT383" i="20" s="1"/>
  <c r="BT73" i="15"/>
  <c r="AL380" i="20"/>
  <c r="AL381" i="20" s="1"/>
  <c r="AL383" i="20" s="1"/>
  <c r="AL73" i="15"/>
  <c r="BA122" i="20"/>
  <c r="BA74" i="15"/>
  <c r="AE122" i="20"/>
  <c r="AR122" i="20"/>
  <c r="BN122" i="20"/>
  <c r="BN74" i="15"/>
  <c r="Q122" i="20"/>
  <c r="Q74" i="15"/>
  <c r="CA122" i="20"/>
  <c r="CA74" i="15"/>
  <c r="AU122" i="20"/>
  <c r="AU74" i="15"/>
  <c r="O122" i="20"/>
  <c r="O74" i="15"/>
  <c r="BR122" i="20"/>
  <c r="BR74" i="15"/>
  <c r="V122" i="20"/>
  <c r="V74" i="15"/>
  <c r="AJ380" i="20"/>
  <c r="AJ381" i="20" s="1"/>
  <c r="AJ73" i="15"/>
  <c r="BH122" i="20"/>
  <c r="BH74" i="15"/>
  <c r="BG122" i="20"/>
  <c r="BG74" i="15"/>
  <c r="O22" i="19"/>
  <c r="AF74" i="15"/>
  <c r="AD122" i="20"/>
  <c r="AD74" i="15"/>
  <c r="AV380" i="20"/>
  <c r="AV381" i="20" s="1"/>
  <c r="AV383" i="20" s="1"/>
  <c r="AV73" i="15"/>
  <c r="AY122" i="20"/>
  <c r="AY74" i="15"/>
  <c r="CE380" i="20"/>
  <c r="CE381" i="20" s="1"/>
  <c r="CE383" i="20" s="1"/>
  <c r="CE73" i="15"/>
  <c r="BK380" i="20"/>
  <c r="BK381" i="20" s="1"/>
  <c r="BK383" i="20" s="1"/>
  <c r="BK73" i="15"/>
  <c r="AQ380" i="20"/>
  <c r="AQ381" i="20" s="1"/>
  <c r="AQ383" i="20" s="1"/>
  <c r="AQ73" i="15"/>
  <c r="AA380" i="20"/>
  <c r="AA381" i="20" s="1"/>
  <c r="AA383" i="20" s="1"/>
  <c r="AA73" i="15"/>
  <c r="K380" i="20"/>
  <c r="K381" i="20" s="1"/>
  <c r="K383" i="20" s="1"/>
  <c r="K73" i="15"/>
  <c r="BE380" i="20"/>
  <c r="BE381" i="20" s="1"/>
  <c r="BE383" i="20" s="1"/>
  <c r="BE73" i="15"/>
  <c r="Y380" i="20"/>
  <c r="Y381" i="20" s="1"/>
  <c r="Y383" i="20" s="1"/>
  <c r="Y73" i="15"/>
  <c r="BD380" i="20"/>
  <c r="BD381" i="20" s="1"/>
  <c r="BD383" i="20" s="1"/>
  <c r="BD73" i="15"/>
  <c r="CH380" i="20"/>
  <c r="CH381" i="20" s="1"/>
  <c r="CH383" i="20" s="1"/>
  <c r="CH73" i="15"/>
  <c r="BB380" i="20"/>
  <c r="BB381" i="20" s="1"/>
  <c r="BB383" i="20" s="1"/>
  <c r="BB73" i="15"/>
  <c r="V380" i="20"/>
  <c r="V381" i="20" s="1"/>
  <c r="V383" i="20" s="1"/>
  <c r="V73" i="15"/>
  <c r="G122" i="20"/>
  <c r="G74" i="15"/>
  <c r="BJ122" i="20"/>
  <c r="BW122" i="20"/>
  <c r="AP122" i="20"/>
  <c r="BF122" i="20"/>
  <c r="BF74" i="15"/>
  <c r="AW122" i="20"/>
  <c r="AW74" i="15"/>
  <c r="H122" i="20"/>
  <c r="H74" i="15"/>
  <c r="BS122" i="20"/>
  <c r="BS74" i="15"/>
  <c r="N122" i="20"/>
  <c r="N74" i="15"/>
  <c r="BQ122" i="20"/>
  <c r="BQ74" i="15"/>
  <c r="X380" i="20"/>
  <c r="X381" i="20" s="1"/>
  <c r="X383" i="20" s="1"/>
  <c r="X73" i="15"/>
  <c r="CF122" i="20"/>
  <c r="CF74" i="15"/>
  <c r="BG380" i="20"/>
  <c r="BG381" i="20" s="1"/>
  <c r="BG383" i="20" s="1"/>
  <c r="BG73" i="15"/>
  <c r="W380" i="20"/>
  <c r="W381" i="20" s="1"/>
  <c r="W383" i="20" s="1"/>
  <c r="W73" i="15"/>
  <c r="CC380" i="20"/>
  <c r="CC381" i="20" s="1"/>
  <c r="CC383" i="20" s="1"/>
  <c r="CC73" i="15"/>
  <c r="AW380" i="20"/>
  <c r="AW381" i="20" s="1"/>
  <c r="AW383" i="20" s="1"/>
  <c r="AW73" i="15"/>
  <c r="AF380" i="20"/>
  <c r="AF381" i="20" s="1"/>
  <c r="AF383" i="20" s="1"/>
  <c r="AF73" i="15"/>
  <c r="AT380" i="20"/>
  <c r="AT381" i="20" s="1"/>
  <c r="AT383" i="20" s="1"/>
  <c r="AT73" i="15"/>
  <c r="AC122" i="20"/>
  <c r="AC74" i="15"/>
  <c r="AQ122" i="20"/>
  <c r="AX122" i="20"/>
  <c r="AX74" i="15"/>
  <c r="AG122" i="20"/>
  <c r="AG74" i="15"/>
  <c r="BK122" i="20"/>
  <c r="BK74" i="15"/>
  <c r="AT122" i="20"/>
  <c r="AT74" i="15"/>
  <c r="AA122" i="20"/>
  <c r="AA74" i="15"/>
  <c r="CE122" i="20"/>
  <c r="CE74" i="15"/>
  <c r="BC380" i="20"/>
  <c r="BC381" i="20" s="1"/>
  <c r="BC383" i="20" s="1"/>
  <c r="BC73" i="15"/>
  <c r="BU380" i="20"/>
  <c r="BU381" i="20" s="1"/>
  <c r="BU383" i="20" s="1"/>
  <c r="BU73" i="15"/>
  <c r="I380" i="20"/>
  <c r="I381" i="20" s="1"/>
  <c r="I383" i="20" s="1"/>
  <c r="I73" i="15"/>
  <c r="P380" i="20"/>
  <c r="P381" i="20" s="1"/>
  <c r="P383" i="20" s="1"/>
  <c r="P73" i="15"/>
  <c r="BR380" i="20"/>
  <c r="BR381" i="20" s="1"/>
  <c r="BR383" i="20" s="1"/>
  <c r="BR73" i="15"/>
  <c r="CG122" i="20"/>
  <c r="BV122" i="20"/>
  <c r="BV74" i="15"/>
  <c r="J122" i="20"/>
  <c r="J74" i="15"/>
  <c r="Y122" i="20"/>
  <c r="Y74" i="15"/>
  <c r="T122" i="20"/>
  <c r="T74" i="15"/>
  <c r="BC122" i="20"/>
  <c r="BC74" i="15"/>
  <c r="L122" i="20"/>
  <c r="L74" i="15"/>
  <c r="BZ122" i="20"/>
  <c r="BZ74" i="15"/>
  <c r="AL122" i="20"/>
  <c r="AL74" i="15"/>
  <c r="P22" i="19"/>
  <c r="AK74" i="15"/>
  <c r="BP122" i="20"/>
  <c r="BP74" i="15"/>
  <c r="AB122" i="20"/>
  <c r="AB74" i="15"/>
  <c r="BO122" i="20"/>
  <c r="BO74" i="15"/>
  <c r="BU122" i="20"/>
  <c r="BU74" i="15"/>
  <c r="AO122" i="20"/>
  <c r="AO74" i="15"/>
  <c r="BT122" i="20"/>
  <c r="BT74" i="15"/>
  <c r="AU380" i="20"/>
  <c r="AU381" i="20" s="1"/>
  <c r="AU383" i="20" s="1"/>
  <c r="AU73" i="15"/>
  <c r="BI122" i="20"/>
  <c r="BI74" i="15"/>
  <c r="S122" i="20"/>
  <c r="S74" i="15"/>
  <c r="CI73" i="15"/>
  <c r="BO380" i="20"/>
  <c r="BO381" i="20" s="1"/>
  <c r="BO383" i="20" s="1"/>
  <c r="BO73" i="15"/>
  <c r="AY380" i="20"/>
  <c r="AY381" i="20" s="1"/>
  <c r="AY383" i="20" s="1"/>
  <c r="AY73" i="15"/>
  <c r="AE380" i="20"/>
  <c r="AE381" i="20" s="1"/>
  <c r="AE383" i="20" s="1"/>
  <c r="AE73" i="15"/>
  <c r="O380" i="20"/>
  <c r="O381" i="20" s="1"/>
  <c r="O383" i="20" s="1"/>
  <c r="O73" i="15"/>
  <c r="BM380" i="20"/>
  <c r="BM381" i="20" s="1"/>
  <c r="BM383" i="20" s="1"/>
  <c r="BM73" i="15"/>
  <c r="AG380" i="20"/>
  <c r="AG381" i="20" s="1"/>
  <c r="AG383" i="20" s="1"/>
  <c r="AG73" i="15"/>
  <c r="BL380" i="20"/>
  <c r="BL381" i="20" s="1"/>
  <c r="BL383" i="20" s="1"/>
  <c r="BL73" i="15"/>
  <c r="H380" i="20"/>
  <c r="H381" i="20" s="1"/>
  <c r="H383" i="20" s="1"/>
  <c r="H73" i="15"/>
  <c r="BJ380" i="20"/>
  <c r="BJ381" i="20" s="1"/>
  <c r="BJ383" i="20" s="1"/>
  <c r="BJ73" i="15"/>
  <c r="AD380" i="20"/>
  <c r="AD381" i="20" s="1"/>
  <c r="AD383" i="20" s="1"/>
  <c r="AD73" i="15"/>
  <c r="W122" i="20"/>
  <c r="BY122" i="20"/>
  <c r="AJ122" i="20"/>
  <c r="CB122" i="20"/>
  <c r="BE122" i="20"/>
  <c r="P122" i="20"/>
  <c r="AF122" i="20"/>
  <c r="X122" i="20"/>
  <c r="AK122" i="20"/>
  <c r="AU309" i="20"/>
  <c r="AU312" i="20" s="1"/>
  <c r="AU313" i="20" s="1"/>
  <c r="N270" i="20"/>
  <c r="N272" i="20" s="1"/>
  <c r="BJ270" i="20"/>
  <c r="BJ272" i="20" s="1"/>
  <c r="AD270" i="20"/>
  <c r="AD272" i="20" s="1"/>
  <c r="AM313" i="20"/>
  <c r="AM360" i="20" s="1"/>
  <c r="AM362" i="20" s="1"/>
  <c r="BZ391" i="20"/>
  <c r="J264" i="20"/>
  <c r="AK313" i="20"/>
  <c r="AK400" i="20" s="1"/>
  <c r="AK132" i="20"/>
  <c r="G313" i="20"/>
  <c r="G360" i="20" s="1"/>
  <c r="G362" i="20" s="1"/>
  <c r="L313" i="20"/>
  <c r="L400" i="20" s="1"/>
  <c r="U313" i="20"/>
  <c r="U400" i="20" s="1"/>
  <c r="AL391" i="20"/>
  <c r="L132" i="20"/>
  <c r="H152" i="20"/>
  <c r="AA391" i="20"/>
  <c r="AG313" i="20"/>
  <c r="AG360" i="20" s="1"/>
  <c r="AG362" i="20" s="1"/>
  <c r="I353" i="20"/>
  <c r="N391" i="20"/>
  <c r="BG270" i="20"/>
  <c r="BG272" i="20" s="1"/>
  <c r="J132" i="20"/>
  <c r="J313" i="20"/>
  <c r="J400" i="20" s="1"/>
  <c r="BM89" i="20"/>
  <c r="BM91" i="20" s="1"/>
  <c r="BM65" i="15" s="1"/>
  <c r="S313" i="20"/>
  <c r="S400" i="20" s="1"/>
  <c r="BR391" i="20"/>
  <c r="AD313" i="20"/>
  <c r="AD400" i="20" s="1"/>
  <c r="I347" i="20"/>
  <c r="I333" i="20" s="1"/>
  <c r="W313" i="20"/>
  <c r="W360" i="20" s="1"/>
  <c r="W362" i="20" s="1"/>
  <c r="BB391" i="20"/>
  <c r="AQ270" i="20"/>
  <c r="AQ272" i="20" s="1"/>
  <c r="AG89" i="20"/>
  <c r="AG91" i="20" s="1"/>
  <c r="AG65" i="15" s="1"/>
  <c r="J353" i="20"/>
  <c r="AR132" i="20"/>
  <c r="I354" i="20"/>
  <c r="G270" i="20"/>
  <c r="G272" i="20" s="1"/>
  <c r="AE313" i="20"/>
  <c r="AE360" i="20" s="1"/>
  <c r="AE362" i="20" s="1"/>
  <c r="AT391" i="20"/>
  <c r="P313" i="20"/>
  <c r="P400" i="20" s="1"/>
  <c r="V313" i="20"/>
  <c r="V400" i="20" s="1"/>
  <c r="H313" i="20"/>
  <c r="H400" i="20" s="1"/>
  <c r="AG132" i="20"/>
  <c r="AP392" i="20"/>
  <c r="AB270" i="20"/>
  <c r="AB272" i="20" s="1"/>
  <c r="AH132" i="20"/>
  <c r="BW270" i="20"/>
  <c r="BW272" i="20" s="1"/>
  <c r="BH270" i="20"/>
  <c r="BH272" i="20" s="1"/>
  <c r="U399" i="20"/>
  <c r="U401" i="20" s="1"/>
  <c r="AZ399" i="20"/>
  <c r="AZ401" i="20" s="1"/>
  <c r="BA399" i="20"/>
  <c r="BA401" i="20" s="1"/>
  <c r="AK399" i="20"/>
  <c r="AK401" i="20" s="1"/>
  <c r="M399" i="20"/>
  <c r="M401" i="20" s="1"/>
  <c r="AR399" i="20"/>
  <c r="AR401" i="20" s="1"/>
  <c r="BI399" i="20"/>
  <c r="BI401" i="20" s="1"/>
  <c r="AA313" i="20"/>
  <c r="AA360" i="20" s="1"/>
  <c r="AA362" i="20" s="1"/>
  <c r="AB399" i="20"/>
  <c r="AB401" i="20" s="1"/>
  <c r="Q313" i="20"/>
  <c r="Q400" i="20" s="1"/>
  <c r="BN399" i="20"/>
  <c r="BN401" i="20" s="1"/>
  <c r="S399" i="20"/>
  <c r="S401" i="20" s="1"/>
  <c r="I257" i="20"/>
  <c r="I243" i="20" s="1"/>
  <c r="N313" i="20"/>
  <c r="N400" i="20" s="1"/>
  <c r="V132" i="20"/>
  <c r="BF399" i="20"/>
  <c r="BF401" i="20" s="1"/>
  <c r="BQ399" i="20"/>
  <c r="BQ401" i="20" s="1"/>
  <c r="AC399" i="20"/>
  <c r="AC401" i="20" s="1"/>
  <c r="AQ313" i="20"/>
  <c r="AQ400" i="20" s="1"/>
  <c r="K313" i="20"/>
  <c r="K360" i="20" s="1"/>
  <c r="K362" i="20" s="1"/>
  <c r="I265" i="20"/>
  <c r="V270" i="20"/>
  <c r="V272" i="20" s="1"/>
  <c r="BY399" i="20"/>
  <c r="BY401" i="20" s="1"/>
  <c r="AJ399" i="20"/>
  <c r="AJ401" i="20" s="1"/>
  <c r="AQ399" i="20"/>
  <c r="AQ401" i="20" s="1"/>
  <c r="I264" i="20"/>
  <c r="CE399" i="20"/>
  <c r="CE401" i="20" s="1"/>
  <c r="BO399" i="20"/>
  <c r="BO401" i="20" s="1"/>
  <c r="AY399" i="20"/>
  <c r="AY401" i="20" s="1"/>
  <c r="AI399" i="20"/>
  <c r="AI401" i="20" s="1"/>
  <c r="AA399" i="20"/>
  <c r="AA401" i="20" s="1"/>
  <c r="CH392" i="20"/>
  <c r="BZ392" i="20"/>
  <c r="BB392" i="20"/>
  <c r="AT392" i="20"/>
  <c r="V392" i="20"/>
  <c r="N392" i="20"/>
  <c r="CI383" i="20"/>
  <c r="AO392" i="20"/>
  <c r="I392" i="20"/>
  <c r="AI374" i="20"/>
  <c r="AN313" i="20"/>
  <c r="AN400" i="20" s="1"/>
  <c r="AF313" i="20"/>
  <c r="AF360" i="20" s="1"/>
  <c r="AF362" i="20" s="1"/>
  <c r="X313" i="20"/>
  <c r="X360" i="20" s="1"/>
  <c r="X362" i="20" s="1"/>
  <c r="AQ132" i="20"/>
  <c r="AI132" i="20"/>
  <c r="AA132" i="20"/>
  <c r="S132" i="20"/>
  <c r="K132" i="20"/>
  <c r="I83" i="20"/>
  <c r="I84" i="20"/>
  <c r="I76" i="20"/>
  <c r="I62" i="20" s="1"/>
  <c r="J66" i="20"/>
  <c r="J58" i="15" s="1"/>
  <c r="AO400" i="20"/>
  <c r="AO360" i="20"/>
  <c r="AO362" i="20" s="1"/>
  <c r="I400" i="20"/>
  <c r="I360" i="20"/>
  <c r="I362" i="20" s="1"/>
  <c r="BC398" i="20"/>
  <c r="BC399" i="20" s="1"/>
  <c r="N398" i="20"/>
  <c r="N399" i="20" s="1"/>
  <c r="T400" i="20"/>
  <c r="T360" i="20"/>
  <c r="T362" i="20" s="1"/>
  <c r="AR380" i="20"/>
  <c r="AR381" i="20" s="1"/>
  <c r="AR383" i="20" s="1"/>
  <c r="AG398" i="20"/>
  <c r="AG399" i="20" s="1"/>
  <c r="AX399" i="20"/>
  <c r="AX401" i="20" s="1"/>
  <c r="AF398" i="20"/>
  <c r="AF399" i="20" s="1"/>
  <c r="AU398" i="20"/>
  <c r="AU399" i="20" s="1"/>
  <c r="BR398" i="20"/>
  <c r="BR399" i="20" s="1"/>
  <c r="K399" i="20"/>
  <c r="K401" i="20" s="1"/>
  <c r="AH400" i="20"/>
  <c r="AH360" i="20"/>
  <c r="AH362" i="20" s="1"/>
  <c r="BS391" i="20"/>
  <c r="BS270" i="20"/>
  <c r="BS272" i="20" s="1"/>
  <c r="AE391" i="20"/>
  <c r="AE270" i="20"/>
  <c r="AE272" i="20" s="1"/>
  <c r="AK380" i="20"/>
  <c r="AK381" i="20" s="1"/>
  <c r="AK383" i="20" s="1"/>
  <c r="AN380" i="20"/>
  <c r="AN381" i="20" s="1"/>
  <c r="Z380" i="20"/>
  <c r="Z381" i="20" s="1"/>
  <c r="BD391" i="20"/>
  <c r="BD270" i="20"/>
  <c r="BD272" i="20" s="1"/>
  <c r="X391" i="20"/>
  <c r="X270" i="20"/>
  <c r="X272" i="20" s="1"/>
  <c r="BG399" i="20"/>
  <c r="BG401" i="20" s="1"/>
  <c r="AS399" i="20"/>
  <c r="AS401" i="20" s="1"/>
  <c r="BW399" i="20"/>
  <c r="BW401" i="20" s="1"/>
  <c r="CE391" i="20"/>
  <c r="CE270" i="20"/>
  <c r="CE272" i="20" s="1"/>
  <c r="S391" i="20"/>
  <c r="S270" i="20"/>
  <c r="S272" i="20" s="1"/>
  <c r="G381" i="20"/>
  <c r="AC380" i="20"/>
  <c r="AM391" i="20"/>
  <c r="AM270" i="20"/>
  <c r="AM272" i="20" s="1"/>
  <c r="AB380" i="20"/>
  <c r="AB381" i="20" s="1"/>
  <c r="CD380" i="20"/>
  <c r="CD381" i="20" s="1"/>
  <c r="R380" i="20"/>
  <c r="R381" i="20" s="1"/>
  <c r="R383" i="20" s="1"/>
  <c r="CB391" i="20"/>
  <c r="CB270" i="20"/>
  <c r="CB272" i="20" s="1"/>
  <c r="AV391" i="20"/>
  <c r="AV270" i="20"/>
  <c r="AV272" i="20" s="1"/>
  <c r="P391" i="20"/>
  <c r="P270" i="20"/>
  <c r="P272" i="20" s="1"/>
  <c r="AH380" i="20"/>
  <c r="AH381" i="20" s="1"/>
  <c r="Y398" i="20"/>
  <c r="Y399" i="20" s="1"/>
  <c r="X398" i="20"/>
  <c r="X399" i="20" s="1"/>
  <c r="X401" i="20" s="1"/>
  <c r="AM398" i="20"/>
  <c r="AM399" i="20" s="1"/>
  <c r="CC398" i="20"/>
  <c r="CC399" i="20" s="1"/>
  <c r="CC401" i="20" s="1"/>
  <c r="Q398" i="20"/>
  <c r="AH399" i="20"/>
  <c r="AH401" i="20" s="1"/>
  <c r="CB398" i="20"/>
  <c r="CB399" i="20" s="1"/>
  <c r="P398" i="20"/>
  <c r="P399" i="20" s="1"/>
  <c r="AE398" i="20"/>
  <c r="AE399" i="20" s="1"/>
  <c r="BB398" i="20"/>
  <c r="CC392" i="20"/>
  <c r="L399" i="20"/>
  <c r="L401" i="20" s="1"/>
  <c r="AP400" i="20"/>
  <c r="AP360" i="20"/>
  <c r="AP362" i="20" s="1"/>
  <c r="R400" i="20"/>
  <c r="R360" i="20"/>
  <c r="R362" i="20" s="1"/>
  <c r="M400" i="20"/>
  <c r="M360" i="20"/>
  <c r="M362" i="20" s="1"/>
  <c r="O360" i="20"/>
  <c r="O362" i="20" s="1"/>
  <c r="I172" i="20"/>
  <c r="I166" i="20"/>
  <c r="I152" i="20" s="1"/>
  <c r="I173" i="20"/>
  <c r="I174" i="20"/>
  <c r="BK391" i="20"/>
  <c r="BK270" i="20"/>
  <c r="BK272" i="20" s="1"/>
  <c r="W391" i="20"/>
  <c r="W270" i="20"/>
  <c r="W272" i="20" s="1"/>
  <c r="CG380" i="20"/>
  <c r="U380" i="20"/>
  <c r="CF380" i="20"/>
  <c r="CF381" i="20" s="1"/>
  <c r="T380" i="20"/>
  <c r="T381" i="20" s="1"/>
  <c r="BV380" i="20"/>
  <c r="BV381" i="20" s="1"/>
  <c r="J380" i="20"/>
  <c r="J381" i="20" s="1"/>
  <c r="J383" i="20" s="1"/>
  <c r="AN398" i="20"/>
  <c r="AN399" i="20" s="1"/>
  <c r="BZ398" i="20"/>
  <c r="Y400" i="20"/>
  <c r="Y360" i="20"/>
  <c r="Y362" i="20" s="1"/>
  <c r="AS380" i="20"/>
  <c r="AS381" i="20" s="1"/>
  <c r="AP399" i="20"/>
  <c r="AP401" i="20" s="1"/>
  <c r="BJ398" i="20"/>
  <c r="BJ399" i="20" s="1"/>
  <c r="T399" i="20"/>
  <c r="T401" i="20" s="1"/>
  <c r="AR400" i="20"/>
  <c r="AR360" i="20"/>
  <c r="AR362" i="20" s="1"/>
  <c r="Z399" i="20"/>
  <c r="Z401" i="20" s="1"/>
  <c r="BT398" i="20"/>
  <c r="BT399" i="20" s="1"/>
  <c r="H398" i="20"/>
  <c r="H399" i="20" s="1"/>
  <c r="H333" i="20"/>
  <c r="W398" i="20"/>
  <c r="W399" i="20" s="1"/>
  <c r="AT398" i="20"/>
  <c r="AT399" i="20" s="1"/>
  <c r="CF399" i="20"/>
  <c r="CF401" i="20" s="1"/>
  <c r="AJ400" i="20"/>
  <c r="AJ360" i="20"/>
  <c r="AJ362" i="20" s="1"/>
  <c r="AI400" i="20"/>
  <c r="AI360" i="20"/>
  <c r="AI362" i="20" s="1"/>
  <c r="Q392" i="20"/>
  <c r="Z400" i="20"/>
  <c r="Z360" i="20"/>
  <c r="Z362" i="20" s="1"/>
  <c r="BO391" i="20"/>
  <c r="BO270" i="20"/>
  <c r="BO272" i="20" s="1"/>
  <c r="K391" i="20"/>
  <c r="K270" i="20"/>
  <c r="K272" i="20" s="1"/>
  <c r="BY380" i="20"/>
  <c r="BY381" i="20" s="1"/>
  <c r="BY383" i="20" s="1"/>
  <c r="M380" i="20"/>
  <c r="BX380" i="20"/>
  <c r="BX381" i="20" s="1"/>
  <c r="L380" i="20"/>
  <c r="L381" i="20" s="1"/>
  <c r="BN380" i="20"/>
  <c r="BN381" i="20" s="1"/>
  <c r="CD89" i="20"/>
  <c r="CD91" i="20" s="1"/>
  <c r="CD65" i="15" s="1"/>
  <c r="BU398" i="20"/>
  <c r="BU399" i="20" s="1"/>
  <c r="BU401" i="20" s="1"/>
  <c r="I398" i="20"/>
  <c r="I399" i="20" s="1"/>
  <c r="BM398" i="20"/>
  <c r="BM399" i="20" s="1"/>
  <c r="CD399" i="20"/>
  <c r="CD401" i="20" s="1"/>
  <c r="R399" i="20"/>
  <c r="R401" i="20" s="1"/>
  <c r="BL398" i="20"/>
  <c r="CA398" i="20"/>
  <c r="CA399" i="20" s="1"/>
  <c r="O398" i="20"/>
  <c r="AL398" i="20"/>
  <c r="AL399" i="20" s="1"/>
  <c r="CG399" i="20"/>
  <c r="CG401" i="20" s="1"/>
  <c r="BX399" i="20"/>
  <c r="BX401" i="20" s="1"/>
  <c r="AS400" i="20"/>
  <c r="AS360" i="20"/>
  <c r="AS362" i="20" s="1"/>
  <c r="CI391" i="20"/>
  <c r="CI270" i="20"/>
  <c r="CI272" i="20" s="1"/>
  <c r="BC391" i="20"/>
  <c r="BC270" i="20"/>
  <c r="BC272" i="20" s="1"/>
  <c r="O391" i="20"/>
  <c r="O270" i="20"/>
  <c r="O272" i="20" s="1"/>
  <c r="BQ380" i="20"/>
  <c r="BQ381" i="20" s="1"/>
  <c r="BQ383" i="20" s="1"/>
  <c r="BP380" i="20"/>
  <c r="BF380" i="20"/>
  <c r="BF381" i="20" s="1"/>
  <c r="BT391" i="20"/>
  <c r="BT270" i="20"/>
  <c r="BT272" i="20" s="1"/>
  <c r="AN391" i="20"/>
  <c r="AN270" i="20"/>
  <c r="AN272" i="20" s="1"/>
  <c r="H391" i="20"/>
  <c r="H270" i="20"/>
  <c r="H272" i="20" s="1"/>
  <c r="AO398" i="20"/>
  <c r="AO399" i="20" s="1"/>
  <c r="AI391" i="20"/>
  <c r="AI270" i="20"/>
  <c r="AI272" i="20" s="1"/>
  <c r="BV399" i="20"/>
  <c r="BV401" i="20" s="1"/>
  <c r="BD398" i="20"/>
  <c r="BD399" i="20" s="1"/>
  <c r="G398" i="20"/>
  <c r="G399" i="20" s="1"/>
  <c r="G333" i="20"/>
  <c r="AD398" i="20"/>
  <c r="BP399" i="20"/>
  <c r="BP401" i="20" s="1"/>
  <c r="AB400" i="20"/>
  <c r="AB360" i="20"/>
  <c r="AB362" i="20" s="1"/>
  <c r="AC400" i="20"/>
  <c r="AC362" i="20"/>
  <c r="AL360" i="20"/>
  <c r="AL362" i="20" s="1"/>
  <c r="AY391" i="20"/>
  <c r="AY270" i="20"/>
  <c r="AY272" i="20" s="1"/>
  <c r="BI380" i="20"/>
  <c r="BH380" i="20"/>
  <c r="BH381" i="20" s="1"/>
  <c r="AX380" i="20"/>
  <c r="AX381" i="20" s="1"/>
  <c r="BL391" i="20"/>
  <c r="BL270" i="20"/>
  <c r="BL272" i="20" s="1"/>
  <c r="AF391" i="20"/>
  <c r="AF270" i="20"/>
  <c r="AF272" i="20" s="1"/>
  <c r="BE398" i="20"/>
  <c r="BE399" i="20" s="1"/>
  <c r="J399" i="20"/>
  <c r="J401" i="20" s="1"/>
  <c r="BS398" i="20"/>
  <c r="AW398" i="20"/>
  <c r="AV398" i="20"/>
  <c r="AV399" i="20" s="1"/>
  <c r="AV401" i="20" s="1"/>
  <c r="BK398" i="20"/>
  <c r="CH398" i="20"/>
  <c r="V398" i="20"/>
  <c r="V399" i="20" s="1"/>
  <c r="BH399" i="20"/>
  <c r="BH401" i="20" s="1"/>
  <c r="CA391" i="20"/>
  <c r="CA270" i="20"/>
  <c r="CA272" i="20" s="1"/>
  <c r="AU391" i="20"/>
  <c r="AU270" i="20"/>
  <c r="AU272" i="20" s="1"/>
  <c r="BA380" i="20"/>
  <c r="BA381" i="20" s="1"/>
  <c r="BA383" i="20" s="1"/>
  <c r="AZ380" i="20"/>
  <c r="AZ381" i="20" s="1"/>
  <c r="AP380" i="20"/>
  <c r="AP381" i="20" s="1"/>
  <c r="U76" i="15" l="1"/>
  <c r="U132" i="20"/>
  <c r="U179" i="20" s="1"/>
  <c r="U181" i="20" s="1"/>
  <c r="BN373" i="20"/>
  <c r="J71" i="15"/>
  <c r="J80" i="15"/>
  <c r="AT360" i="20"/>
  <c r="AT362" i="20" s="1"/>
  <c r="BN89" i="20"/>
  <c r="BN91" i="20" s="1"/>
  <c r="BN65" i="15" s="1"/>
  <c r="AP89" i="20"/>
  <c r="AP91" i="20" s="1"/>
  <c r="AP65" i="15" s="1"/>
  <c r="BV373" i="20"/>
  <c r="AP373" i="20"/>
  <c r="AX89" i="20"/>
  <c r="AX91" i="20" s="1"/>
  <c r="AX65" i="15" s="1"/>
  <c r="AX373" i="20"/>
  <c r="Q382" i="20"/>
  <c r="BV89" i="20"/>
  <c r="BV91" i="20" s="1"/>
  <c r="BV65" i="15" s="1"/>
  <c r="AU382" i="20"/>
  <c r="AU179" i="20"/>
  <c r="AU181" i="20" s="1"/>
  <c r="AU78" i="15" s="1"/>
  <c r="AE179" i="20"/>
  <c r="AE181" i="20" s="1"/>
  <c r="AE78" i="15" s="1"/>
  <c r="AE382" i="20"/>
  <c r="Z179" i="20"/>
  <c r="Z181" i="20" s="1"/>
  <c r="Z78" i="15" s="1"/>
  <c r="AB179" i="20"/>
  <c r="AB181" i="20" s="1"/>
  <c r="AB78" i="15" s="1"/>
  <c r="AD382" i="20"/>
  <c r="AP179" i="20"/>
  <c r="AP181" i="20" s="1"/>
  <c r="AP78" i="15" s="1"/>
  <c r="W179" i="20"/>
  <c r="W181" i="20" s="1"/>
  <c r="W78" i="15" s="1"/>
  <c r="AJ179" i="20"/>
  <c r="AJ181" i="20" s="1"/>
  <c r="AJ78" i="15" s="1"/>
  <c r="AS382" i="20"/>
  <c r="Y179" i="20"/>
  <c r="Y181" i="20" s="1"/>
  <c r="Y78" i="15" s="1"/>
  <c r="AS179" i="20"/>
  <c r="AS181" i="20" s="1"/>
  <c r="AS78" i="15" s="1"/>
  <c r="AJ382" i="20"/>
  <c r="Y382" i="20"/>
  <c r="CD373" i="20"/>
  <c r="M78" i="15"/>
  <c r="Z382" i="20"/>
  <c r="BF89" i="20"/>
  <c r="BF91" i="20" s="1"/>
  <c r="BF65" i="15" s="1"/>
  <c r="AM179" i="20"/>
  <c r="AM181" i="20" s="1"/>
  <c r="AM78" i="15" s="1"/>
  <c r="M382" i="20"/>
  <c r="BF373" i="20"/>
  <c r="AM382" i="20"/>
  <c r="AL179" i="20"/>
  <c r="AL181" i="20" s="1"/>
  <c r="AL78" i="15" s="1"/>
  <c r="AL382" i="20"/>
  <c r="AG382" i="20"/>
  <c r="AG77" i="15"/>
  <c r="AQ43" i="15"/>
  <c r="AT382" i="20"/>
  <c r="AT77" i="15"/>
  <c r="Y89" i="20"/>
  <c r="Y91" i="20" s="1"/>
  <c r="Y65" i="15" s="1"/>
  <c r="Y64" i="15"/>
  <c r="AO373" i="20"/>
  <c r="AO64" i="15"/>
  <c r="BE89" i="20"/>
  <c r="BE91" i="20" s="1"/>
  <c r="BE65" i="15" s="1"/>
  <c r="BE64" i="15"/>
  <c r="BU89" i="20"/>
  <c r="BU91" i="20" s="1"/>
  <c r="BU65" i="15" s="1"/>
  <c r="BU64" i="15"/>
  <c r="AB382" i="20"/>
  <c r="AP382" i="20"/>
  <c r="W382" i="20"/>
  <c r="I179" i="20"/>
  <c r="I181" i="20" s="1"/>
  <c r="I78" i="15" s="1"/>
  <c r="AO179" i="20"/>
  <c r="AO181" i="20" s="1"/>
  <c r="AO78" i="15" s="1"/>
  <c r="AA179" i="20"/>
  <c r="AA181" i="20" s="1"/>
  <c r="AA78" i="15" s="1"/>
  <c r="AA77" i="15"/>
  <c r="AH382" i="20"/>
  <c r="AH77" i="15"/>
  <c r="H373" i="20"/>
  <c r="H64" i="15"/>
  <c r="AF373" i="20"/>
  <c r="AF64" i="15"/>
  <c r="AV89" i="20"/>
  <c r="AV91" i="20" s="1"/>
  <c r="AV65" i="15" s="1"/>
  <c r="AV64" i="15"/>
  <c r="BL89" i="20"/>
  <c r="BL91" i="20" s="1"/>
  <c r="BL65" i="15" s="1"/>
  <c r="BL64" i="15"/>
  <c r="CB89" i="20"/>
  <c r="CB91" i="20" s="1"/>
  <c r="CB65" i="15" s="1"/>
  <c r="CB64" i="15"/>
  <c r="I382" i="20"/>
  <c r="R179" i="20"/>
  <c r="R181" i="20" s="1"/>
  <c r="R78" i="15" s="1"/>
  <c r="AO382" i="20"/>
  <c r="AI179" i="20"/>
  <c r="AI181" i="20" s="1"/>
  <c r="AI78" i="15" s="1"/>
  <c r="AI77" i="15"/>
  <c r="BU373" i="20"/>
  <c r="H382" i="20"/>
  <c r="H77" i="15"/>
  <c r="G89" i="20"/>
  <c r="G64" i="15"/>
  <c r="X382" i="20"/>
  <c r="X77" i="15"/>
  <c r="AC382" i="20"/>
  <c r="AC77" i="15"/>
  <c r="I373" i="20"/>
  <c r="I64" i="15"/>
  <c r="AG373" i="20"/>
  <c r="AG64" i="15"/>
  <c r="AW373" i="20"/>
  <c r="AW64" i="15"/>
  <c r="BM373" i="20"/>
  <c r="BM64" i="15"/>
  <c r="CC89" i="20"/>
  <c r="CC91" i="20" s="1"/>
  <c r="CC65" i="15" s="1"/>
  <c r="CC64" i="15"/>
  <c r="AR382" i="20"/>
  <c r="AR77" i="15"/>
  <c r="AK382" i="20"/>
  <c r="AK77" i="15"/>
  <c r="R382" i="20"/>
  <c r="AD179" i="20"/>
  <c r="AD181" i="20" s="1"/>
  <c r="AD78" i="15" s="1"/>
  <c r="K382" i="20"/>
  <c r="K77" i="15"/>
  <c r="AQ179" i="20"/>
  <c r="AQ181" i="20" s="1"/>
  <c r="AQ78" i="15" s="1"/>
  <c r="AQ77" i="15"/>
  <c r="AO89" i="20"/>
  <c r="AO91" i="20" s="1"/>
  <c r="AO65" i="15" s="1"/>
  <c r="Y373" i="20"/>
  <c r="G179" i="20"/>
  <c r="J382" i="20"/>
  <c r="J77" i="15"/>
  <c r="X373" i="20"/>
  <c r="X64" i="15"/>
  <c r="AN89" i="20"/>
  <c r="AN91" i="20" s="1"/>
  <c r="AN65" i="15" s="1"/>
  <c r="AN64" i="15"/>
  <c r="BD89" i="20"/>
  <c r="BD91" i="20" s="1"/>
  <c r="BD65" i="15" s="1"/>
  <c r="BD64" i="15"/>
  <c r="BT373" i="20"/>
  <c r="BT64" i="15"/>
  <c r="AN382" i="20"/>
  <c r="AN77" i="15"/>
  <c r="T179" i="20"/>
  <c r="T181" i="20" s="1"/>
  <c r="T78" i="15" s="1"/>
  <c r="T382" i="20"/>
  <c r="P382" i="20"/>
  <c r="V382" i="20"/>
  <c r="V77" i="15"/>
  <c r="U382" i="20"/>
  <c r="U77" i="15"/>
  <c r="S382" i="20"/>
  <c r="S77" i="15"/>
  <c r="Q373" i="20"/>
  <c r="Q64" i="15"/>
  <c r="P373" i="20"/>
  <c r="P64" i="15"/>
  <c r="P179" i="20"/>
  <c r="P181" i="20" s="1"/>
  <c r="P78" i="15" s="1"/>
  <c r="Q179" i="20"/>
  <c r="Q181" i="20" s="1"/>
  <c r="Q78" i="15" s="1"/>
  <c r="O179" i="20"/>
  <c r="O181" i="20" s="1"/>
  <c r="O78" i="15" s="1"/>
  <c r="O382" i="20"/>
  <c r="N382" i="20"/>
  <c r="N77" i="15"/>
  <c r="L382" i="20"/>
  <c r="L77" i="15"/>
  <c r="AG400" i="20"/>
  <c r="AU400" i="20"/>
  <c r="AU360" i="20"/>
  <c r="AU362" i="20" s="1"/>
  <c r="AV309" i="20"/>
  <c r="AV312" i="20" s="1"/>
  <c r="AV313" i="20" s="1"/>
  <c r="AV400" i="20" s="1"/>
  <c r="AV128" i="20"/>
  <c r="AV131" i="20" s="1"/>
  <c r="AM400" i="20"/>
  <c r="P360" i="20"/>
  <c r="P362" i="20" s="1"/>
  <c r="AK179" i="20"/>
  <c r="AK181" i="20" s="1"/>
  <c r="AK78" i="15" s="1"/>
  <c r="J257" i="20"/>
  <c r="J243" i="20" s="1"/>
  <c r="J265" i="20"/>
  <c r="J263" i="20"/>
  <c r="K400" i="20"/>
  <c r="J179" i="20"/>
  <c r="J181" i="20" s="1"/>
  <c r="J78" i="15" s="1"/>
  <c r="U360" i="20"/>
  <c r="U362" i="20" s="1"/>
  <c r="AK360" i="20"/>
  <c r="AK362" i="20" s="1"/>
  <c r="J354" i="20"/>
  <c r="G400" i="20"/>
  <c r="L360" i="20"/>
  <c r="L362" i="20" s="1"/>
  <c r="AG179" i="20"/>
  <c r="AG181" i="20" s="1"/>
  <c r="AG78" i="15" s="1"/>
  <c r="L179" i="20"/>
  <c r="L181" i="20" s="1"/>
  <c r="L78" i="15" s="1"/>
  <c r="AI382" i="20"/>
  <c r="AN360" i="20"/>
  <c r="AN362" i="20" s="1"/>
  <c r="U78" i="15"/>
  <c r="AD360" i="20"/>
  <c r="AD362" i="20" s="1"/>
  <c r="H360" i="20"/>
  <c r="H362" i="20" s="1"/>
  <c r="AQ360" i="20"/>
  <c r="AQ362" i="20" s="1"/>
  <c r="AR179" i="20"/>
  <c r="AR181" i="20" s="1"/>
  <c r="AR78" i="15" s="1"/>
  <c r="W400" i="20"/>
  <c r="AE400" i="20"/>
  <c r="J360" i="20"/>
  <c r="J362" i="20" s="1"/>
  <c r="AF132" i="20"/>
  <c r="O25" i="19"/>
  <c r="O28" i="19" s="1"/>
  <c r="O29" i="19" s="1"/>
  <c r="G382" i="20"/>
  <c r="J355" i="20"/>
  <c r="N360" i="20"/>
  <c r="N362" i="20" s="1"/>
  <c r="K353" i="20"/>
  <c r="J347" i="20"/>
  <c r="J333" i="20" s="1"/>
  <c r="V360" i="20"/>
  <c r="V362" i="20" s="1"/>
  <c r="X400" i="20"/>
  <c r="S360" i="20"/>
  <c r="S362" i="20" s="1"/>
  <c r="AQ382" i="20"/>
  <c r="AF400" i="20"/>
  <c r="S179" i="20"/>
  <c r="S181" i="20" s="1"/>
  <c r="S78" i="15" s="1"/>
  <c r="AH179" i="20"/>
  <c r="AH181" i="20" s="1"/>
  <c r="AH78" i="15" s="1"/>
  <c r="V179" i="20"/>
  <c r="V181" i="20" s="1"/>
  <c r="V78" i="15" s="1"/>
  <c r="AA382" i="20"/>
  <c r="AA400" i="20"/>
  <c r="Q360" i="20"/>
  <c r="Q362" i="20" s="1"/>
  <c r="K179" i="20"/>
  <c r="K181" i="20" s="1"/>
  <c r="K78" i="15" s="1"/>
  <c r="BH383" i="20"/>
  <c r="BI381" i="20"/>
  <c r="BI383" i="20" s="1"/>
  <c r="BM401" i="20"/>
  <c r="I401" i="20"/>
  <c r="BN383" i="20"/>
  <c r="W401" i="20"/>
  <c r="AS383" i="20"/>
  <c r="CG381" i="20"/>
  <c r="CG383" i="20" s="1"/>
  <c r="P401" i="20"/>
  <c r="CB401" i="20"/>
  <c r="CD383" i="20"/>
  <c r="AB383" i="20"/>
  <c r="AC381" i="20"/>
  <c r="AC383" i="20" s="1"/>
  <c r="BR401" i="20"/>
  <c r="AF401" i="20"/>
  <c r="AG401" i="20"/>
  <c r="BC401" i="20"/>
  <c r="J83" i="20"/>
  <c r="K66" i="20"/>
  <c r="K58" i="15" s="1"/>
  <c r="J76" i="20"/>
  <c r="J62" i="20" s="1"/>
  <c r="J84" i="20"/>
  <c r="J82" i="20"/>
  <c r="G401" i="20"/>
  <c r="AN383" i="20"/>
  <c r="Z383" i="20"/>
  <c r="V401" i="20"/>
  <c r="H401" i="20"/>
  <c r="AZ383" i="20"/>
  <c r="BB399" i="20"/>
  <c r="BB401" i="20" s="1"/>
  <c r="L383" i="20"/>
  <c r="T383" i="20"/>
  <c r="J166" i="20"/>
  <c r="J152" i="20" s="1"/>
  <c r="K156" i="20"/>
  <c r="J173" i="20"/>
  <c r="J172" i="20"/>
  <c r="J174" i="20"/>
  <c r="AJ383" i="20"/>
  <c r="N401" i="20"/>
  <c r="AP383" i="20"/>
  <c r="AM401" i="20"/>
  <c r="Y401" i="20"/>
  <c r="BL399" i="20"/>
  <c r="BL401" i="20" s="1"/>
  <c r="BV383" i="20"/>
  <c r="AW399" i="20"/>
  <c r="AW401" i="20" s="1"/>
  <c r="BD401" i="20"/>
  <c r="BT401" i="20"/>
  <c r="Q399" i="20"/>
  <c r="Q401" i="20" s="1"/>
  <c r="BX383" i="20"/>
  <c r="AN401" i="20"/>
  <c r="CF383" i="20"/>
  <c r="BZ399" i="20"/>
  <c r="BZ401" i="20" s="1"/>
  <c r="AE401" i="20"/>
  <c r="CH399" i="20"/>
  <c r="CH401" i="20" s="1"/>
  <c r="BE401" i="20"/>
  <c r="U381" i="20"/>
  <c r="U383" i="20" s="1"/>
  <c r="BF383" i="20"/>
  <c r="CA401" i="20"/>
  <c r="AT401" i="20"/>
  <c r="BJ401" i="20"/>
  <c r="AX383" i="20"/>
  <c r="BP381" i="20"/>
  <c r="BP383" i="20" s="1"/>
  <c r="BK399" i="20"/>
  <c r="BK401" i="20" s="1"/>
  <c r="BS399" i="20"/>
  <c r="BS401" i="20" s="1"/>
  <c r="AH383" i="20"/>
  <c r="M381" i="20"/>
  <c r="M383" i="20" s="1"/>
  <c r="AD399" i="20"/>
  <c r="AD401" i="20" s="1"/>
  <c r="AU401" i="20"/>
  <c r="CI401" i="20"/>
  <c r="AO401" i="20"/>
  <c r="AL401" i="20"/>
  <c r="O399" i="20"/>
  <c r="O401" i="20" s="1"/>
  <c r="L15" i="22"/>
  <c r="L18" i="22"/>
  <c r="L21" i="22"/>
  <c r="L24" i="22"/>
  <c r="L27" i="22"/>
  <c r="C2" i="22"/>
  <c r="AA73" i="22"/>
  <c r="Z73" i="22"/>
  <c r="Y73" i="22"/>
  <c r="X73" i="22"/>
  <c r="W73" i="22"/>
  <c r="V73" i="22"/>
  <c r="U73" i="22"/>
  <c r="T73" i="22"/>
  <c r="S73" i="22"/>
  <c r="R73" i="22"/>
  <c r="Q73" i="22"/>
  <c r="P73" i="22"/>
  <c r="O73" i="22"/>
  <c r="N73" i="22"/>
  <c r="M73" i="22"/>
  <c r="AA72" i="22"/>
  <c r="Z72" i="22"/>
  <c r="Y72" i="22"/>
  <c r="X72" i="22"/>
  <c r="W72" i="22"/>
  <c r="V72" i="22"/>
  <c r="U72" i="22"/>
  <c r="T72" i="22"/>
  <c r="S72" i="22"/>
  <c r="R72" i="22"/>
  <c r="Q72" i="22"/>
  <c r="P72" i="22"/>
  <c r="O72" i="22"/>
  <c r="N72" i="22"/>
  <c r="M72" i="22"/>
  <c r="AA68" i="22"/>
  <c r="Z68" i="22"/>
  <c r="Y68" i="22"/>
  <c r="X68" i="22"/>
  <c r="W68" i="22"/>
  <c r="V68" i="22"/>
  <c r="U68" i="22"/>
  <c r="T68" i="22"/>
  <c r="S68" i="22"/>
  <c r="R68" i="22"/>
  <c r="Q68" i="22"/>
  <c r="P68" i="22"/>
  <c r="O68" i="22"/>
  <c r="N68" i="22"/>
  <c r="M68" i="22"/>
  <c r="U27" i="22"/>
  <c r="T27" i="22"/>
  <c r="S27" i="22"/>
  <c r="R27" i="22"/>
  <c r="Q27" i="22"/>
  <c r="P27" i="22"/>
  <c r="O27" i="22"/>
  <c r="N27" i="22"/>
  <c r="M27" i="22"/>
  <c r="AA24" i="22"/>
  <c r="Z24" i="22"/>
  <c r="Y24" i="22"/>
  <c r="X24" i="22"/>
  <c r="W24" i="22"/>
  <c r="V24" i="22"/>
  <c r="U24" i="22"/>
  <c r="T24" i="22"/>
  <c r="S24" i="22"/>
  <c r="R24" i="22"/>
  <c r="Q24" i="22"/>
  <c r="P24" i="22"/>
  <c r="O24" i="22"/>
  <c r="N24" i="22"/>
  <c r="M24" i="22"/>
  <c r="AA21" i="22"/>
  <c r="Z21" i="22"/>
  <c r="Y21" i="22"/>
  <c r="X21" i="22"/>
  <c r="W21" i="22"/>
  <c r="V21" i="22"/>
  <c r="U21" i="22"/>
  <c r="T21" i="22"/>
  <c r="S21" i="22"/>
  <c r="R21" i="22"/>
  <c r="Q21" i="22"/>
  <c r="P21" i="22"/>
  <c r="O21" i="22"/>
  <c r="N21" i="22"/>
  <c r="M21" i="22"/>
  <c r="AA18" i="22"/>
  <c r="Z18" i="22"/>
  <c r="Y18" i="22"/>
  <c r="X18" i="22"/>
  <c r="W18" i="22"/>
  <c r="V18" i="22"/>
  <c r="U18" i="22"/>
  <c r="T18" i="22"/>
  <c r="S18" i="22"/>
  <c r="R18" i="22"/>
  <c r="Q18" i="22"/>
  <c r="P18" i="22"/>
  <c r="O18" i="22"/>
  <c r="N18" i="22"/>
  <c r="M18" i="22"/>
  <c r="AA15" i="22"/>
  <c r="Z15" i="22"/>
  <c r="Y15" i="22"/>
  <c r="X15" i="22"/>
  <c r="W15" i="22"/>
  <c r="V15" i="22"/>
  <c r="U15" i="22"/>
  <c r="T15" i="22"/>
  <c r="S15" i="22"/>
  <c r="R15" i="22"/>
  <c r="Q15" i="22"/>
  <c r="P15" i="22"/>
  <c r="O15" i="22"/>
  <c r="N15" i="22"/>
  <c r="M15" i="22"/>
  <c r="AA9" i="22"/>
  <c r="Z9" i="22"/>
  <c r="Y9" i="22"/>
  <c r="X9" i="22"/>
  <c r="W9" i="22"/>
  <c r="V9" i="22"/>
  <c r="U9" i="22"/>
  <c r="T9" i="22"/>
  <c r="S9" i="22"/>
  <c r="R9" i="22"/>
  <c r="Q9" i="22"/>
  <c r="P9" i="22"/>
  <c r="O9" i="22"/>
  <c r="N9" i="22"/>
  <c r="M9" i="22"/>
  <c r="K80" i="15" l="1"/>
  <c r="K71" i="15"/>
  <c r="AR43" i="15"/>
  <c r="AF382" i="20"/>
  <c r="AF77" i="15"/>
  <c r="AV132" i="20"/>
  <c r="AV77" i="15" s="1"/>
  <c r="AV76" i="15"/>
  <c r="AV360" i="20"/>
  <c r="AV362" i="20" s="1"/>
  <c r="AW309" i="20"/>
  <c r="AW312" i="20" s="1"/>
  <c r="AW313" i="20" s="1"/>
  <c r="AW128" i="20"/>
  <c r="AW131" i="20" s="1"/>
  <c r="K257" i="20"/>
  <c r="K243" i="20" s="1"/>
  <c r="K265" i="20"/>
  <c r="K264" i="20"/>
  <c r="K263" i="20"/>
  <c r="K354" i="20"/>
  <c r="L354" i="20"/>
  <c r="AF179" i="20"/>
  <c r="AF181" i="20" s="1"/>
  <c r="AF78" i="15" s="1"/>
  <c r="K355" i="20"/>
  <c r="K347" i="20"/>
  <c r="K333" i="20" s="1"/>
  <c r="K83" i="20"/>
  <c r="K82" i="20"/>
  <c r="K84" i="20"/>
  <c r="K76" i="20"/>
  <c r="K62" i="20" s="1"/>
  <c r="L66" i="20"/>
  <c r="L58" i="15" s="1"/>
  <c r="K174" i="20"/>
  <c r="K166" i="20"/>
  <c r="K152" i="20" s="1"/>
  <c r="L156" i="20"/>
  <c r="K173" i="20"/>
  <c r="K172" i="20"/>
  <c r="L265" i="20"/>
  <c r="L264" i="20"/>
  <c r="L263" i="20"/>
  <c r="L257" i="20"/>
  <c r="L243" i="20" s="1"/>
  <c r="L28" i="22"/>
  <c r="X74" i="22"/>
  <c r="AA74" i="22"/>
  <c r="N74" i="22"/>
  <c r="R74" i="22"/>
  <c r="V74" i="22"/>
  <c r="Z74" i="22"/>
  <c r="N28" i="22"/>
  <c r="R28" i="22"/>
  <c r="V28" i="22"/>
  <c r="Z28" i="22"/>
  <c r="O74" i="22"/>
  <c r="S74" i="22"/>
  <c r="W74" i="22"/>
  <c r="O28" i="22"/>
  <c r="S28" i="22"/>
  <c r="W28" i="22"/>
  <c r="AA28" i="22"/>
  <c r="M28" i="22"/>
  <c r="Q28" i="22"/>
  <c r="P28" i="22"/>
  <c r="T28" i="22"/>
  <c r="X28" i="22"/>
  <c r="U28" i="22"/>
  <c r="Y28" i="22"/>
  <c r="M74" i="22"/>
  <c r="Q74" i="22"/>
  <c r="U74" i="22"/>
  <c r="Y74" i="22"/>
  <c r="P74" i="22"/>
  <c r="T74" i="22"/>
  <c r="M156" i="20" l="1"/>
  <c r="L71" i="15"/>
  <c r="L80" i="15"/>
  <c r="AV179" i="20"/>
  <c r="AV181" i="20" s="1"/>
  <c r="AV78" i="15" s="1"/>
  <c r="AV382" i="20"/>
  <c r="AW132" i="20"/>
  <c r="AW77" i="15" s="1"/>
  <c r="AW76" i="15"/>
  <c r="AS43" i="15"/>
  <c r="AW400" i="20"/>
  <c r="AW360" i="20"/>
  <c r="AW362" i="20" s="1"/>
  <c r="AX309" i="20"/>
  <c r="AX312" i="20" s="1"/>
  <c r="AX313" i="20" s="1"/>
  <c r="AX128" i="20"/>
  <c r="AX131" i="20" s="1"/>
  <c r="L353" i="20"/>
  <c r="M355" i="20"/>
  <c r="L347" i="20"/>
  <c r="L333" i="20" s="1"/>
  <c r="L355" i="20"/>
  <c r="L84" i="20"/>
  <c r="L83" i="20"/>
  <c r="L82" i="20"/>
  <c r="L76" i="20"/>
  <c r="L62" i="20" s="1"/>
  <c r="M66" i="20"/>
  <c r="M58" i="15" s="1"/>
  <c r="M257" i="20"/>
  <c r="M243" i="20" s="1"/>
  <c r="M265" i="20"/>
  <c r="M264" i="20"/>
  <c r="M263" i="20"/>
  <c r="L174" i="20"/>
  <c r="L173" i="20"/>
  <c r="L172" i="20"/>
  <c r="L166" i="20"/>
  <c r="L152" i="20" s="1"/>
  <c r="C3" i="15"/>
  <c r="C2" i="18"/>
  <c r="C2" i="16"/>
  <c r="C5" i="19"/>
  <c r="C6" i="3"/>
  <c r="M166" i="20" l="1"/>
  <c r="M152" i="20" s="1"/>
  <c r="M71" i="15"/>
  <c r="M80" i="15"/>
  <c r="AW179" i="20"/>
  <c r="AW181" i="20" s="1"/>
  <c r="AW78" i="15" s="1"/>
  <c r="AW382" i="20"/>
  <c r="AX132" i="20"/>
  <c r="AX77" i="15" s="1"/>
  <c r="AX76" i="15"/>
  <c r="AT43" i="15"/>
  <c r="AX360" i="20"/>
  <c r="AX362" i="20" s="1"/>
  <c r="AX400" i="20"/>
  <c r="AY309" i="20"/>
  <c r="AY312" i="20" s="1"/>
  <c r="AY313" i="20" s="1"/>
  <c r="AY128" i="20"/>
  <c r="AY131" i="20" s="1"/>
  <c r="M353" i="20"/>
  <c r="M347" i="20"/>
  <c r="M333" i="20" s="1"/>
  <c r="M354" i="20"/>
  <c r="M83" i="20"/>
  <c r="M82" i="20"/>
  <c r="M76" i="20"/>
  <c r="M62" i="20" s="1"/>
  <c r="N66" i="20"/>
  <c r="N58" i="15" s="1"/>
  <c r="M84" i="20"/>
  <c r="N265" i="20"/>
  <c r="N264" i="20"/>
  <c r="N263" i="20"/>
  <c r="N257" i="20"/>
  <c r="N243" i="20" s="1"/>
  <c r="M174" i="20"/>
  <c r="M173" i="20"/>
  <c r="M172" i="20"/>
  <c r="N156" i="20"/>
  <c r="Y19" i="19"/>
  <c r="N347" i="20" l="1"/>
  <c r="N333" i="20" s="1"/>
  <c r="N71" i="15"/>
  <c r="N80" i="15"/>
  <c r="AX382" i="20"/>
  <c r="AX179" i="20"/>
  <c r="AX181" i="20" s="1"/>
  <c r="AX78" i="15" s="1"/>
  <c r="N353" i="20"/>
  <c r="AY132" i="20"/>
  <c r="AY77" i="15" s="1"/>
  <c r="AY76" i="15"/>
  <c r="AU43" i="15"/>
  <c r="AY360" i="20"/>
  <c r="AY362" i="20" s="1"/>
  <c r="AY400" i="20"/>
  <c r="AZ309" i="20"/>
  <c r="AZ312" i="20" s="1"/>
  <c r="AZ313" i="20" s="1"/>
  <c r="AZ128" i="20"/>
  <c r="AZ131" i="20" s="1"/>
  <c r="N354" i="20"/>
  <c r="N355" i="20"/>
  <c r="N82" i="20"/>
  <c r="N83" i="20"/>
  <c r="N76" i="20"/>
  <c r="N62" i="20" s="1"/>
  <c r="O66" i="20"/>
  <c r="O58" i="15" s="1"/>
  <c r="N84" i="20"/>
  <c r="O347" i="20"/>
  <c r="O333" i="20" s="1"/>
  <c r="O355" i="20"/>
  <c r="O353" i="20"/>
  <c r="O354" i="20"/>
  <c r="N174" i="20"/>
  <c r="N173" i="20"/>
  <c r="N172" i="20"/>
  <c r="O156" i="20"/>
  <c r="N166" i="20"/>
  <c r="N152" i="20" s="1"/>
  <c r="O264" i="20"/>
  <c r="O263" i="20"/>
  <c r="O265" i="20"/>
  <c r="O257" i="20"/>
  <c r="O243" i="20" s="1"/>
  <c r="C14" i="15"/>
  <c r="O80" i="15" l="1"/>
  <c r="O71" i="15"/>
  <c r="AY179" i="20"/>
  <c r="AY181" i="20" s="1"/>
  <c r="AY78" i="15" s="1"/>
  <c r="AY382" i="20"/>
  <c r="AZ132" i="20"/>
  <c r="AZ77" i="15" s="1"/>
  <c r="AZ76" i="15"/>
  <c r="AV43" i="15"/>
  <c r="AZ400" i="20"/>
  <c r="AZ360" i="20"/>
  <c r="AZ362" i="20" s="1"/>
  <c r="BA309" i="20"/>
  <c r="BA312" i="20" s="1"/>
  <c r="BA313" i="20" s="1"/>
  <c r="BA128" i="20"/>
  <c r="BA131" i="20" s="1"/>
  <c r="O84" i="20"/>
  <c r="O83" i="20"/>
  <c r="O76" i="20"/>
  <c r="O62" i="20" s="1"/>
  <c r="P66" i="20"/>
  <c r="P58" i="15" s="1"/>
  <c r="O82" i="20"/>
  <c r="P263" i="20"/>
  <c r="P264" i="20"/>
  <c r="P265" i="20"/>
  <c r="P257" i="20"/>
  <c r="P243" i="20" s="1"/>
  <c r="P355" i="20"/>
  <c r="P354" i="20"/>
  <c r="P347" i="20"/>
  <c r="P333" i="20" s="1"/>
  <c r="P353" i="20"/>
  <c r="O174" i="20"/>
  <c r="O173" i="20"/>
  <c r="O172" i="20"/>
  <c r="O166" i="20"/>
  <c r="O152" i="20" s="1"/>
  <c r="P156" i="20"/>
  <c r="N22" i="19"/>
  <c r="M22" i="19"/>
  <c r="L22" i="19"/>
  <c r="K22" i="19"/>
  <c r="P71" i="15" l="1"/>
  <c r="P80" i="15"/>
  <c r="AZ179" i="20"/>
  <c r="AZ181" i="20" s="1"/>
  <c r="AZ78" i="15" s="1"/>
  <c r="AZ382" i="20"/>
  <c r="BA132" i="20"/>
  <c r="BA77" i="15" s="1"/>
  <c r="BA76" i="15"/>
  <c r="AW43" i="15"/>
  <c r="BA360" i="20"/>
  <c r="BA362" i="20" s="1"/>
  <c r="BA400" i="20"/>
  <c r="BB309" i="20"/>
  <c r="BB312" i="20" s="1"/>
  <c r="BB313" i="20" s="1"/>
  <c r="BB128" i="20"/>
  <c r="BB131" i="20" s="1"/>
  <c r="P83" i="20"/>
  <c r="P76" i="20"/>
  <c r="P62" i="20" s="1"/>
  <c r="Q66" i="20"/>
  <c r="Q58" i="15" s="1"/>
  <c r="P84" i="20"/>
  <c r="P82" i="20"/>
  <c r="Q264" i="20"/>
  <c r="Q257" i="20"/>
  <c r="Q243" i="20" s="1"/>
  <c r="Q265" i="20"/>
  <c r="Q263" i="20"/>
  <c r="Q355" i="20"/>
  <c r="Q354" i="20"/>
  <c r="Q353" i="20"/>
  <c r="Q347" i="20"/>
  <c r="Q333" i="20" s="1"/>
  <c r="P174" i="20"/>
  <c r="P173" i="20"/>
  <c r="P172" i="20"/>
  <c r="P166" i="20"/>
  <c r="P152" i="20" s="1"/>
  <c r="Q156" i="20"/>
  <c r="N25" i="19"/>
  <c r="M25" i="19"/>
  <c r="L25" i="19"/>
  <c r="Q71" i="15" l="1"/>
  <c r="Q80" i="15"/>
  <c r="BA382" i="20"/>
  <c r="BA179" i="20"/>
  <c r="BA181" i="20" s="1"/>
  <c r="BA78" i="15" s="1"/>
  <c r="BB132" i="20"/>
  <c r="BB77" i="15" s="1"/>
  <c r="BB76" i="15"/>
  <c r="AX43" i="15"/>
  <c r="BB400" i="20"/>
  <c r="BB360" i="20"/>
  <c r="BB362" i="20" s="1"/>
  <c r="BC309" i="20"/>
  <c r="BC312" i="20" s="1"/>
  <c r="BC313" i="20" s="1"/>
  <c r="BC128" i="20"/>
  <c r="BC131" i="20" s="1"/>
  <c r="K25" i="19"/>
  <c r="K28" i="19" s="1"/>
  <c r="K29" i="19" s="1"/>
  <c r="L28" i="19"/>
  <c r="L29" i="19" s="1"/>
  <c r="M28" i="19"/>
  <c r="M29" i="19" s="1"/>
  <c r="N28" i="19"/>
  <c r="N29" i="19" s="1"/>
  <c r="Q84" i="20"/>
  <c r="Q83" i="20"/>
  <c r="R66" i="20"/>
  <c r="R58" i="15" s="1"/>
  <c r="Q82" i="20"/>
  <c r="Q76" i="20"/>
  <c r="Q62" i="20" s="1"/>
  <c r="R264" i="20"/>
  <c r="R263" i="20"/>
  <c r="R257" i="20"/>
  <c r="R243" i="20" s="1"/>
  <c r="R265" i="20"/>
  <c r="R355" i="20"/>
  <c r="R354" i="20"/>
  <c r="R353" i="20"/>
  <c r="R347" i="20"/>
  <c r="R333" i="20" s="1"/>
  <c r="Q172" i="20"/>
  <c r="Q166" i="20"/>
  <c r="Q152" i="20" s="1"/>
  <c r="R156" i="20"/>
  <c r="Q173" i="20"/>
  <c r="Q174" i="20"/>
  <c r="P25" i="19"/>
  <c r="R71" i="15" l="1"/>
  <c r="R80" i="15"/>
  <c r="BB382" i="20"/>
  <c r="BB179" i="20"/>
  <c r="BB181" i="20" s="1"/>
  <c r="BB78" i="15" s="1"/>
  <c r="BC132" i="20"/>
  <c r="BC77" i="15" s="1"/>
  <c r="BC76" i="15"/>
  <c r="AY43" i="15"/>
  <c r="BD309" i="20"/>
  <c r="BD312" i="20" s="1"/>
  <c r="BD313" i="20" s="1"/>
  <c r="BD128" i="20"/>
  <c r="BD131" i="20" s="1"/>
  <c r="BC360" i="20"/>
  <c r="BC362" i="20" s="1"/>
  <c r="BC400" i="20"/>
  <c r="R84" i="20"/>
  <c r="R82" i="20"/>
  <c r="R83" i="20"/>
  <c r="R76" i="20"/>
  <c r="R62" i="20" s="1"/>
  <c r="S66" i="20"/>
  <c r="S58" i="15" s="1"/>
  <c r="S355" i="20"/>
  <c r="S354" i="20"/>
  <c r="S353" i="20"/>
  <c r="S347" i="20"/>
  <c r="S333" i="20" s="1"/>
  <c r="R166" i="20"/>
  <c r="R152" i="20" s="1"/>
  <c r="S156" i="20"/>
  <c r="R173" i="20"/>
  <c r="R172" i="20"/>
  <c r="R174" i="20"/>
  <c r="S263" i="20"/>
  <c r="S265" i="20"/>
  <c r="S257" i="20"/>
  <c r="S243" i="20" s="1"/>
  <c r="S264" i="20"/>
  <c r="S80" i="15" l="1"/>
  <c r="S71" i="15"/>
  <c r="BC179" i="20"/>
  <c r="BC181" i="20" s="1"/>
  <c r="BC78" i="15" s="1"/>
  <c r="BC382" i="20"/>
  <c r="BD132" i="20"/>
  <c r="BD77" i="15" s="1"/>
  <c r="BD76" i="15"/>
  <c r="AZ43" i="15"/>
  <c r="BD400" i="20"/>
  <c r="BD360" i="20"/>
  <c r="BD362" i="20" s="1"/>
  <c r="BE309" i="20"/>
  <c r="BE312" i="20" s="1"/>
  <c r="BE313" i="20" s="1"/>
  <c r="BE128" i="20"/>
  <c r="BE131" i="20" s="1"/>
  <c r="S82" i="20"/>
  <c r="S83" i="20"/>
  <c r="S76" i="20"/>
  <c r="S62" i="20" s="1"/>
  <c r="T66" i="20"/>
  <c r="T58" i="15" s="1"/>
  <c r="S84" i="20"/>
  <c r="T354" i="20"/>
  <c r="T353" i="20"/>
  <c r="T347" i="20"/>
  <c r="T333" i="20" s="1"/>
  <c r="T355" i="20"/>
  <c r="T265" i="20"/>
  <c r="T257" i="20"/>
  <c r="T243" i="20" s="1"/>
  <c r="T263" i="20"/>
  <c r="T264" i="20"/>
  <c r="S174" i="20"/>
  <c r="S166" i="20"/>
  <c r="S152" i="20" s="1"/>
  <c r="T156" i="20"/>
  <c r="S172" i="20"/>
  <c r="S173" i="20"/>
  <c r="P28" i="19"/>
  <c r="G19" i="15"/>
  <c r="T71" i="15" l="1"/>
  <c r="T80" i="15"/>
  <c r="BD382" i="20"/>
  <c r="BD179" i="20"/>
  <c r="BD181" i="20" s="1"/>
  <c r="BD78" i="15" s="1"/>
  <c r="BE132" i="20"/>
  <c r="BE77" i="15" s="1"/>
  <c r="BE76" i="15"/>
  <c r="BA43" i="15"/>
  <c r="BE400" i="20"/>
  <c r="BE360" i="20"/>
  <c r="BE362" i="20" s="1"/>
  <c r="BF309" i="20"/>
  <c r="BF312" i="20" s="1"/>
  <c r="BF313" i="20" s="1"/>
  <c r="BF128" i="20"/>
  <c r="BF131" i="20" s="1"/>
  <c r="T84" i="20"/>
  <c r="T82" i="20"/>
  <c r="T83" i="20"/>
  <c r="T76" i="20"/>
  <c r="T62" i="20" s="1"/>
  <c r="U66" i="20"/>
  <c r="U58" i="15" s="1"/>
  <c r="T173" i="20"/>
  <c r="U156" i="20"/>
  <c r="T166" i="20"/>
  <c r="T152" i="20" s="1"/>
  <c r="T174" i="20"/>
  <c r="T172" i="20"/>
  <c r="U353" i="20"/>
  <c r="U347" i="20"/>
  <c r="U333" i="20" s="1"/>
  <c r="U355" i="20"/>
  <c r="U354" i="20"/>
  <c r="U257" i="20"/>
  <c r="U243" i="20" s="1"/>
  <c r="U265" i="20"/>
  <c r="U263" i="20"/>
  <c r="U264" i="20"/>
  <c r="P29" i="19"/>
  <c r="CJ29" i="15"/>
  <c r="H19" i="15"/>
  <c r="I19" i="15"/>
  <c r="J19" i="15"/>
  <c r="K19" i="15"/>
  <c r="L19" i="15"/>
  <c r="M19" i="15"/>
  <c r="N19" i="15"/>
  <c r="O19" i="15"/>
  <c r="P19" i="15"/>
  <c r="Q19" i="15"/>
  <c r="R19" i="15"/>
  <c r="S19" i="15"/>
  <c r="T19" i="15"/>
  <c r="U19" i="15"/>
  <c r="V19" i="15"/>
  <c r="W19" i="15"/>
  <c r="X19" i="15"/>
  <c r="Y19" i="15"/>
  <c r="Z19" i="15"/>
  <c r="AA19" i="15"/>
  <c r="AB19" i="15"/>
  <c r="AC19" i="15"/>
  <c r="AD19" i="15"/>
  <c r="AE19" i="15"/>
  <c r="AF19" i="15"/>
  <c r="AG19" i="15"/>
  <c r="AH19" i="15"/>
  <c r="AI19" i="15"/>
  <c r="AJ19" i="15"/>
  <c r="AK19" i="15"/>
  <c r="AL19" i="15"/>
  <c r="AM19" i="15"/>
  <c r="AN19" i="15"/>
  <c r="AO19" i="15"/>
  <c r="AP19" i="15"/>
  <c r="AQ19" i="15"/>
  <c r="AR19" i="15"/>
  <c r="AS19" i="15"/>
  <c r="AT19" i="15"/>
  <c r="AU19" i="15"/>
  <c r="AV19" i="15"/>
  <c r="AW19" i="15"/>
  <c r="AX19" i="15"/>
  <c r="AY19" i="15"/>
  <c r="AZ19" i="15"/>
  <c r="BA19" i="15"/>
  <c r="BB19" i="15"/>
  <c r="BC19" i="15"/>
  <c r="BD19" i="15"/>
  <c r="BE19" i="15"/>
  <c r="BF19" i="15"/>
  <c r="BG19" i="15"/>
  <c r="BH19" i="15"/>
  <c r="BI19" i="15"/>
  <c r="BJ19" i="15"/>
  <c r="BK19" i="15"/>
  <c r="BL19" i="15"/>
  <c r="BM19" i="15"/>
  <c r="BN19" i="15"/>
  <c r="BO19" i="15"/>
  <c r="BP19" i="15"/>
  <c r="BQ19" i="15"/>
  <c r="BR19" i="15"/>
  <c r="BS19" i="15"/>
  <c r="BT19" i="15"/>
  <c r="BU19" i="15"/>
  <c r="BV19" i="15"/>
  <c r="BW19" i="15"/>
  <c r="BX19" i="15"/>
  <c r="BY19" i="15"/>
  <c r="BZ19" i="15"/>
  <c r="CA19" i="15"/>
  <c r="CB19" i="15"/>
  <c r="CC19" i="15"/>
  <c r="CD19" i="15"/>
  <c r="CE19" i="15"/>
  <c r="CF19" i="15"/>
  <c r="CG19" i="15"/>
  <c r="CH19" i="15"/>
  <c r="CI19" i="15"/>
  <c r="CJ19" i="15"/>
  <c r="U71" i="15" l="1"/>
  <c r="U80" i="15"/>
  <c r="BE179" i="20"/>
  <c r="BE181" i="20" s="1"/>
  <c r="BE78" i="15" s="1"/>
  <c r="BE382" i="20"/>
  <c r="BF132" i="20"/>
  <c r="BF77" i="15" s="1"/>
  <c r="BF76" i="15"/>
  <c r="BB43" i="15"/>
  <c r="BF400" i="20"/>
  <c r="BF360" i="20"/>
  <c r="BF362" i="20" s="1"/>
  <c r="BG309" i="20"/>
  <c r="BG312" i="20" s="1"/>
  <c r="BG313" i="20" s="1"/>
  <c r="BG128" i="20"/>
  <c r="BG131" i="20" s="1"/>
  <c r="U83" i="20"/>
  <c r="U82" i="20"/>
  <c r="V66" i="20"/>
  <c r="V58" i="15" s="1"/>
  <c r="U76" i="20"/>
  <c r="U62" i="20" s="1"/>
  <c r="U84" i="20"/>
  <c r="V347" i="20"/>
  <c r="V333" i="20" s="1"/>
  <c r="V355" i="20"/>
  <c r="V354" i="20"/>
  <c r="V353" i="20"/>
  <c r="U173" i="20"/>
  <c r="U174" i="20"/>
  <c r="U172" i="20"/>
  <c r="V156" i="20"/>
  <c r="U166" i="20"/>
  <c r="U152" i="20" s="1"/>
  <c r="V265" i="20"/>
  <c r="V264" i="20"/>
  <c r="V257" i="20"/>
  <c r="V243" i="20" s="1"/>
  <c r="V263" i="20"/>
  <c r="V71" i="15" l="1"/>
  <c r="V80" i="15"/>
  <c r="BF179" i="20"/>
  <c r="BF181" i="20" s="1"/>
  <c r="BF78" i="15" s="1"/>
  <c r="BF382" i="20"/>
  <c r="BG132" i="20"/>
  <c r="BG77" i="15" s="1"/>
  <c r="BG76" i="15"/>
  <c r="BC43" i="15"/>
  <c r="BG360" i="20"/>
  <c r="BG362" i="20" s="1"/>
  <c r="BG400" i="20"/>
  <c r="BH309" i="20"/>
  <c r="BH312" i="20" s="1"/>
  <c r="BH313" i="20" s="1"/>
  <c r="BH128" i="20"/>
  <c r="BH131" i="20" s="1"/>
  <c r="V82" i="20"/>
  <c r="V76" i="20"/>
  <c r="V62" i="20" s="1"/>
  <c r="W66" i="20"/>
  <c r="W58" i="15" s="1"/>
  <c r="V83" i="20"/>
  <c r="V84" i="20"/>
  <c r="W347" i="20"/>
  <c r="W333" i="20" s="1"/>
  <c r="W355" i="20"/>
  <c r="W353" i="20"/>
  <c r="W354" i="20"/>
  <c r="V173" i="20"/>
  <c r="V174" i="20"/>
  <c r="V172" i="20"/>
  <c r="V166" i="20"/>
  <c r="V152" i="20" s="1"/>
  <c r="W156" i="20"/>
  <c r="W265" i="20"/>
  <c r="W264" i="20"/>
  <c r="W263" i="20"/>
  <c r="W257" i="20"/>
  <c r="W243" i="20" s="1"/>
  <c r="W80" i="15" l="1"/>
  <c r="W71" i="15"/>
  <c r="BG179" i="20"/>
  <c r="BG181" i="20" s="1"/>
  <c r="BG78" i="15" s="1"/>
  <c r="BG382" i="20"/>
  <c r="BH132" i="20"/>
  <c r="BH77" i="15" s="1"/>
  <c r="BH76" i="15"/>
  <c r="BD43" i="15"/>
  <c r="BH400" i="20"/>
  <c r="BH360" i="20"/>
  <c r="BH362" i="20" s="1"/>
  <c r="BI309" i="20"/>
  <c r="BI312" i="20" s="1"/>
  <c r="BI313" i="20" s="1"/>
  <c r="BI128" i="20"/>
  <c r="BI131" i="20" s="1"/>
  <c r="W84" i="20"/>
  <c r="W76" i="20"/>
  <c r="W62" i="20" s="1"/>
  <c r="X66" i="20"/>
  <c r="X58" i="15" s="1"/>
  <c r="W83" i="20"/>
  <c r="W82" i="20"/>
  <c r="W173" i="20"/>
  <c r="W174" i="20"/>
  <c r="W172" i="20"/>
  <c r="W166" i="20"/>
  <c r="W152" i="20" s="1"/>
  <c r="X156" i="20"/>
  <c r="X355" i="20"/>
  <c r="X354" i="20"/>
  <c r="X353" i="20"/>
  <c r="X347" i="20"/>
  <c r="X333" i="20" s="1"/>
  <c r="X263" i="20"/>
  <c r="X264" i="20"/>
  <c r="X265" i="20"/>
  <c r="X257" i="20"/>
  <c r="X243" i="20" s="1"/>
  <c r="J68" i="3"/>
  <c r="J52" i="3"/>
  <c r="J10" i="3"/>
  <c r="X71" i="15" l="1"/>
  <c r="X80" i="15"/>
  <c r="BH179" i="20"/>
  <c r="BH181" i="20" s="1"/>
  <c r="BH78" i="15" s="1"/>
  <c r="BH382" i="20"/>
  <c r="BI132" i="20"/>
  <c r="BI77" i="15" s="1"/>
  <c r="BI76" i="15"/>
  <c r="BE43" i="15"/>
  <c r="BI360" i="20"/>
  <c r="BI362" i="20" s="1"/>
  <c r="BI400" i="20"/>
  <c r="BJ309" i="20"/>
  <c r="BJ312" i="20" s="1"/>
  <c r="BJ313" i="20" s="1"/>
  <c r="BJ128" i="20"/>
  <c r="BJ131" i="20" s="1"/>
  <c r="X83" i="20"/>
  <c r="X76" i="20"/>
  <c r="X62" i="20" s="1"/>
  <c r="Y66" i="20"/>
  <c r="Y58" i="15" s="1"/>
  <c r="X84" i="20"/>
  <c r="X82" i="20"/>
  <c r="Y355" i="20"/>
  <c r="Y354" i="20"/>
  <c r="Y353" i="20"/>
  <c r="Y347" i="20"/>
  <c r="Y333" i="20" s="1"/>
  <c r="Y264" i="20"/>
  <c r="Y257" i="20"/>
  <c r="Y243" i="20" s="1"/>
  <c r="Y265" i="20"/>
  <c r="Y263" i="20"/>
  <c r="X173" i="20"/>
  <c r="X174" i="20"/>
  <c r="X172" i="20"/>
  <c r="X166" i="20"/>
  <c r="X152" i="20" s="1"/>
  <c r="Y156" i="20"/>
  <c r="Y71" i="15" l="1"/>
  <c r="Y80" i="15"/>
  <c r="BI382" i="20"/>
  <c r="BI179" i="20"/>
  <c r="BI181" i="20" s="1"/>
  <c r="BI78" i="15" s="1"/>
  <c r="BJ132" i="20"/>
  <c r="BJ77" i="15" s="1"/>
  <c r="BJ76" i="15"/>
  <c r="BF43" i="15"/>
  <c r="BJ400" i="20"/>
  <c r="BJ360" i="20"/>
  <c r="BJ362" i="20" s="1"/>
  <c r="BK309" i="20"/>
  <c r="BK312" i="20" s="1"/>
  <c r="BK313" i="20" s="1"/>
  <c r="BK128" i="20"/>
  <c r="BK131" i="20" s="1"/>
  <c r="Y83" i="20"/>
  <c r="Y84" i="20"/>
  <c r="Y82" i="20"/>
  <c r="Y76" i="20"/>
  <c r="Y62" i="20" s="1"/>
  <c r="Z66" i="20"/>
  <c r="Z58" i="15" s="1"/>
  <c r="Z264" i="20"/>
  <c r="Z263" i="20"/>
  <c r="Z257" i="20"/>
  <c r="Z243" i="20" s="1"/>
  <c r="Z265" i="20"/>
  <c r="Y174" i="20"/>
  <c r="Y172" i="20"/>
  <c r="Y166" i="20"/>
  <c r="Y152" i="20" s="1"/>
  <c r="Z156" i="20"/>
  <c r="Y173" i="20"/>
  <c r="Z355" i="20"/>
  <c r="Z354" i="20"/>
  <c r="Z353" i="20"/>
  <c r="Z347" i="20"/>
  <c r="Z333" i="20" s="1"/>
  <c r="Z71" i="15" l="1"/>
  <c r="Z80" i="15"/>
  <c r="BJ382" i="20"/>
  <c r="BJ179" i="20"/>
  <c r="BJ181" i="20" s="1"/>
  <c r="BJ78" i="15" s="1"/>
  <c r="BK132" i="20"/>
  <c r="BK77" i="15" s="1"/>
  <c r="BK76" i="15"/>
  <c r="BG43" i="15"/>
  <c r="BK400" i="20"/>
  <c r="BK360" i="20"/>
  <c r="BK362" i="20" s="1"/>
  <c r="BL309" i="20"/>
  <c r="BL312" i="20" s="1"/>
  <c r="BL313" i="20" s="1"/>
  <c r="BL128" i="20"/>
  <c r="BL131" i="20" s="1"/>
  <c r="Z83" i="20"/>
  <c r="Z84" i="20"/>
  <c r="Z82" i="20"/>
  <c r="Z76" i="20"/>
  <c r="Z62" i="20" s="1"/>
  <c r="AA66" i="20"/>
  <c r="AA58" i="15" s="1"/>
  <c r="AA263" i="20"/>
  <c r="AA265" i="20"/>
  <c r="AA264" i="20"/>
  <c r="AA257" i="20"/>
  <c r="AA243" i="20" s="1"/>
  <c r="AA355" i="20"/>
  <c r="AA354" i="20"/>
  <c r="AA353" i="20"/>
  <c r="AA347" i="20"/>
  <c r="AA333" i="20" s="1"/>
  <c r="Z166" i="20"/>
  <c r="Z152" i="20" s="1"/>
  <c r="AA156" i="20"/>
  <c r="Z174" i="20"/>
  <c r="Z173" i="20"/>
  <c r="Z172" i="20"/>
  <c r="AA71" i="15" l="1"/>
  <c r="AA80" i="15"/>
  <c r="BK179" i="20"/>
  <c r="BK181" i="20" s="1"/>
  <c r="BK78" i="15" s="1"/>
  <c r="BK382" i="20"/>
  <c r="BL132" i="20"/>
  <c r="BL77" i="15" s="1"/>
  <c r="BL76" i="15"/>
  <c r="BH43" i="15"/>
  <c r="BL400" i="20"/>
  <c r="BL360" i="20"/>
  <c r="BL362" i="20" s="1"/>
  <c r="BM309" i="20"/>
  <c r="BM312" i="20" s="1"/>
  <c r="BM313" i="20" s="1"/>
  <c r="BM128" i="20"/>
  <c r="BM131" i="20" s="1"/>
  <c r="AA84" i="20"/>
  <c r="AA83" i="20"/>
  <c r="AA82" i="20"/>
  <c r="AA76" i="20"/>
  <c r="AA62" i="20" s="1"/>
  <c r="AB66" i="20"/>
  <c r="AB58" i="15" s="1"/>
  <c r="AB265" i="20"/>
  <c r="AB257" i="20"/>
  <c r="AB243" i="20" s="1"/>
  <c r="AB264" i="20"/>
  <c r="AB263" i="20"/>
  <c r="AB354" i="20"/>
  <c r="AB353" i="20"/>
  <c r="AB347" i="20"/>
  <c r="AB333" i="20" s="1"/>
  <c r="AB355" i="20"/>
  <c r="AA174" i="20"/>
  <c r="AA166" i="20"/>
  <c r="AA152" i="20" s="1"/>
  <c r="AB156" i="20"/>
  <c r="AA173" i="20"/>
  <c r="AA172" i="20"/>
  <c r="AB71" i="15" l="1"/>
  <c r="AB80" i="15"/>
  <c r="BL382" i="20"/>
  <c r="BL179" i="20"/>
  <c r="BL181" i="20" s="1"/>
  <c r="BL78" i="15" s="1"/>
  <c r="BM132" i="20"/>
  <c r="BM77" i="15" s="1"/>
  <c r="BM76" i="15"/>
  <c r="BI43" i="15"/>
  <c r="BM400" i="20"/>
  <c r="BM360" i="20"/>
  <c r="BM362" i="20" s="1"/>
  <c r="BN309" i="20"/>
  <c r="BN312" i="20" s="1"/>
  <c r="BN313" i="20" s="1"/>
  <c r="BN128" i="20"/>
  <c r="BN131" i="20" s="1"/>
  <c r="AB84" i="20"/>
  <c r="AB82" i="20"/>
  <c r="AB76" i="20"/>
  <c r="AB62" i="20" s="1"/>
  <c r="AC66" i="20"/>
  <c r="AC58" i="15" s="1"/>
  <c r="AB83" i="20"/>
  <c r="AB173" i="20"/>
  <c r="AB174" i="20"/>
  <c r="AB172" i="20"/>
  <c r="AC156" i="20"/>
  <c r="AB166" i="20"/>
  <c r="AB152" i="20" s="1"/>
  <c r="AC257" i="20"/>
  <c r="AC243" i="20" s="1"/>
  <c r="AC265" i="20"/>
  <c r="AC264" i="20"/>
  <c r="AC263" i="20"/>
  <c r="AC353" i="20"/>
  <c r="AC347" i="20"/>
  <c r="AC333" i="20" s="1"/>
  <c r="AC355" i="20"/>
  <c r="AC354" i="20"/>
  <c r="AC71" i="15" l="1"/>
  <c r="AC80" i="15"/>
  <c r="BM179" i="20"/>
  <c r="BM181" i="20" s="1"/>
  <c r="BM78" i="15" s="1"/>
  <c r="BM382" i="20"/>
  <c r="BN132" i="20"/>
  <c r="BN77" i="15" s="1"/>
  <c r="BN76" i="15"/>
  <c r="BJ43" i="15"/>
  <c r="BN360" i="20"/>
  <c r="BN362" i="20" s="1"/>
  <c r="BN400" i="20"/>
  <c r="BO309" i="20"/>
  <c r="BO312" i="20" s="1"/>
  <c r="BO313" i="20" s="1"/>
  <c r="BO128" i="20"/>
  <c r="BO131" i="20" s="1"/>
  <c r="AC83" i="20"/>
  <c r="AC84" i="20"/>
  <c r="AC82" i="20"/>
  <c r="AC76" i="20"/>
  <c r="AC62" i="20" s="1"/>
  <c r="AD66" i="20"/>
  <c r="AD58" i="15" s="1"/>
  <c r="AD264" i="20"/>
  <c r="AD263" i="20"/>
  <c r="AD265" i="20"/>
  <c r="AD257" i="20"/>
  <c r="AD243" i="20" s="1"/>
  <c r="AC173" i="20"/>
  <c r="AC172" i="20"/>
  <c r="AC174" i="20"/>
  <c r="AD156" i="20"/>
  <c r="AC166" i="20"/>
  <c r="AC152" i="20" s="1"/>
  <c r="AD347" i="20"/>
  <c r="AD333" i="20" s="1"/>
  <c r="AD353" i="20"/>
  <c r="AD355" i="20"/>
  <c r="AD354" i="20"/>
  <c r="AD71" i="15" l="1"/>
  <c r="AD80" i="15"/>
  <c r="BN382" i="20"/>
  <c r="BN179" i="20"/>
  <c r="BN181" i="20" s="1"/>
  <c r="BN78" i="15" s="1"/>
  <c r="BO132" i="20"/>
  <c r="BO77" i="15" s="1"/>
  <c r="BO76" i="15"/>
  <c r="BK43" i="15"/>
  <c r="BO400" i="20"/>
  <c r="BO360" i="20"/>
  <c r="BO362" i="20" s="1"/>
  <c r="BP309" i="20"/>
  <c r="BP312" i="20" s="1"/>
  <c r="BP313" i="20" s="1"/>
  <c r="BP128" i="20"/>
  <c r="BP131" i="20" s="1"/>
  <c r="AD82" i="20"/>
  <c r="AD76" i="20"/>
  <c r="AD62" i="20" s="1"/>
  <c r="AE66" i="20"/>
  <c r="AE58" i="15" s="1"/>
  <c r="AD84" i="20"/>
  <c r="AD83" i="20"/>
  <c r="AE347" i="20"/>
  <c r="AE333" i="20" s="1"/>
  <c r="AE355" i="20"/>
  <c r="AE353" i="20"/>
  <c r="AE354" i="20"/>
  <c r="AE265" i="20"/>
  <c r="AE264" i="20"/>
  <c r="AE263" i="20"/>
  <c r="AE257" i="20"/>
  <c r="AE243" i="20" s="1"/>
  <c r="AD173" i="20"/>
  <c r="AD172" i="20"/>
  <c r="AD174" i="20"/>
  <c r="AE156" i="20"/>
  <c r="AD166" i="20"/>
  <c r="AD152" i="20" s="1"/>
  <c r="AE80" i="15" l="1"/>
  <c r="AE71" i="15"/>
  <c r="BO382" i="20"/>
  <c r="BO179" i="20"/>
  <c r="BO181" i="20" s="1"/>
  <c r="BO78" i="15" s="1"/>
  <c r="BP132" i="20"/>
  <c r="BP77" i="15" s="1"/>
  <c r="BP76" i="15"/>
  <c r="BL43" i="15"/>
  <c r="BP400" i="20"/>
  <c r="BP360" i="20"/>
  <c r="BP362" i="20" s="1"/>
  <c r="BQ309" i="20"/>
  <c r="BQ312" i="20" s="1"/>
  <c r="BQ313" i="20" s="1"/>
  <c r="BQ128" i="20"/>
  <c r="BQ131" i="20" s="1"/>
  <c r="AE84" i="20"/>
  <c r="AE76" i="20"/>
  <c r="AE62" i="20" s="1"/>
  <c r="AF66" i="20"/>
  <c r="AF58" i="15" s="1"/>
  <c r="AE83" i="20"/>
  <c r="AE82" i="20"/>
  <c r="AE173" i="20"/>
  <c r="AE172" i="20"/>
  <c r="AE174" i="20"/>
  <c r="AE166" i="20"/>
  <c r="AE152" i="20" s="1"/>
  <c r="AF156" i="20"/>
  <c r="AF265" i="20"/>
  <c r="AF263" i="20"/>
  <c r="AF264" i="20"/>
  <c r="AF257" i="20"/>
  <c r="AF243" i="20" s="1"/>
  <c r="AF355" i="20"/>
  <c r="AF354" i="20"/>
  <c r="AF353" i="20"/>
  <c r="AF347" i="20"/>
  <c r="AF333" i="20" s="1"/>
  <c r="AF71" i="15" l="1"/>
  <c r="AF80" i="15"/>
  <c r="BQ132" i="20"/>
  <c r="BQ77" i="15" s="1"/>
  <c r="BQ76" i="15"/>
  <c r="BP179" i="20"/>
  <c r="BP181" i="20" s="1"/>
  <c r="BP78" i="15" s="1"/>
  <c r="BP382" i="20"/>
  <c r="BM43" i="15"/>
  <c r="BQ400" i="20"/>
  <c r="BQ360" i="20"/>
  <c r="BQ362" i="20" s="1"/>
  <c r="BR309" i="20"/>
  <c r="BR312" i="20" s="1"/>
  <c r="BR313" i="20" s="1"/>
  <c r="BR128" i="20"/>
  <c r="BR131" i="20" s="1"/>
  <c r="AF83" i="20"/>
  <c r="AF76" i="20"/>
  <c r="AF62" i="20" s="1"/>
  <c r="AG66" i="20"/>
  <c r="AG58" i="15" s="1"/>
  <c r="AF84" i="20"/>
  <c r="AF82" i="20"/>
  <c r="AG264" i="20"/>
  <c r="AG257" i="20"/>
  <c r="AG243" i="20" s="1"/>
  <c r="AG263" i="20"/>
  <c r="AG265" i="20"/>
  <c r="AG355" i="20"/>
  <c r="AG354" i="20"/>
  <c r="AG353" i="20"/>
  <c r="AG347" i="20"/>
  <c r="AG333" i="20" s="1"/>
  <c r="AF173" i="20"/>
  <c r="AF172" i="20"/>
  <c r="AF174" i="20"/>
  <c r="AF166" i="20"/>
  <c r="AF152" i="20" s="1"/>
  <c r="AG156" i="20"/>
  <c r="BQ382" i="20" l="1"/>
  <c r="AG71" i="15"/>
  <c r="AG80" i="15"/>
  <c r="BQ179" i="20"/>
  <c r="BQ181" i="20" s="1"/>
  <c r="BQ78" i="15" s="1"/>
  <c r="BN43" i="15"/>
  <c r="BR132" i="20"/>
  <c r="BR77" i="15" s="1"/>
  <c r="BR76" i="15"/>
  <c r="BR400" i="20"/>
  <c r="BR360" i="20"/>
  <c r="BR362" i="20" s="1"/>
  <c r="BS309" i="20"/>
  <c r="BS312" i="20" s="1"/>
  <c r="BS313" i="20" s="1"/>
  <c r="BS128" i="20"/>
  <c r="BS131" i="20" s="1"/>
  <c r="AH66" i="20"/>
  <c r="AH58" i="15" s="1"/>
  <c r="AG83" i="20"/>
  <c r="AG76" i="20"/>
  <c r="AG62" i="20" s="1"/>
  <c r="AG84" i="20"/>
  <c r="AG82" i="20"/>
  <c r="AH355" i="20"/>
  <c r="AH354" i="20"/>
  <c r="AH353" i="20"/>
  <c r="AH347" i="20"/>
  <c r="AH333" i="20" s="1"/>
  <c r="AH264" i="20"/>
  <c r="AH263" i="20"/>
  <c r="AH257" i="20"/>
  <c r="AH243" i="20" s="1"/>
  <c r="AH265" i="20"/>
  <c r="AG173" i="20"/>
  <c r="AG172" i="20"/>
  <c r="AG174" i="20"/>
  <c r="AG166" i="20"/>
  <c r="AG152" i="20" s="1"/>
  <c r="AH156" i="20"/>
  <c r="AH71" i="15" l="1"/>
  <c r="AH80" i="15"/>
  <c r="BR382" i="20"/>
  <c r="BO43" i="15"/>
  <c r="BS132" i="20"/>
  <c r="BS77" i="15" s="1"/>
  <c r="BS76" i="15"/>
  <c r="BR179" i="20"/>
  <c r="BR181" i="20" s="1"/>
  <c r="BR78" i="15" s="1"/>
  <c r="BS360" i="20"/>
  <c r="BS362" i="20" s="1"/>
  <c r="BS400" i="20"/>
  <c r="BT309" i="20"/>
  <c r="BT312" i="20" s="1"/>
  <c r="BT313" i="20" s="1"/>
  <c r="BT128" i="20"/>
  <c r="BT131" i="20" s="1"/>
  <c r="AH83" i="20"/>
  <c r="AH84" i="20"/>
  <c r="AH82" i="20"/>
  <c r="AH76" i="20"/>
  <c r="AH62" i="20" s="1"/>
  <c r="AI66" i="20"/>
  <c r="AI58" i="15" s="1"/>
  <c r="AI355" i="20"/>
  <c r="AI354" i="20"/>
  <c r="AI353" i="20"/>
  <c r="AI347" i="20"/>
  <c r="AI333" i="20" s="1"/>
  <c r="AI263" i="20"/>
  <c r="AI265" i="20"/>
  <c r="AI257" i="20"/>
  <c r="AI243" i="20" s="1"/>
  <c r="AI264" i="20"/>
  <c r="AH174" i="20"/>
  <c r="AH166" i="20"/>
  <c r="AH152" i="20" s="1"/>
  <c r="AI156" i="20"/>
  <c r="AH173" i="20"/>
  <c r="AH172" i="20"/>
  <c r="AI80" i="15" l="1"/>
  <c r="AI71" i="15"/>
  <c r="BS179" i="20"/>
  <c r="BS181" i="20" s="1"/>
  <c r="BS78" i="15" s="1"/>
  <c r="BT132" i="20"/>
  <c r="BT77" i="15" s="1"/>
  <c r="BT76" i="15"/>
  <c r="BS382" i="20"/>
  <c r="BP43" i="15"/>
  <c r="BT360" i="20"/>
  <c r="BT362" i="20" s="1"/>
  <c r="BT400" i="20"/>
  <c r="BU309" i="20"/>
  <c r="BU312" i="20" s="1"/>
  <c r="BU313" i="20" s="1"/>
  <c r="BU128" i="20"/>
  <c r="BU131" i="20" s="1"/>
  <c r="AI83" i="20"/>
  <c r="AI84" i="20"/>
  <c r="AI82" i="20"/>
  <c r="AI76" i="20"/>
  <c r="AI62" i="20" s="1"/>
  <c r="AJ66" i="20"/>
  <c r="AJ58" i="15" s="1"/>
  <c r="AJ265" i="20"/>
  <c r="AJ257" i="20"/>
  <c r="AJ243" i="20" s="1"/>
  <c r="AJ263" i="20"/>
  <c r="AJ264" i="20"/>
  <c r="AJ354" i="20"/>
  <c r="AJ353" i="20"/>
  <c r="AJ347" i="20"/>
  <c r="AJ333" i="20" s="1"/>
  <c r="AJ355" i="20"/>
  <c r="AI174" i="20"/>
  <c r="AI166" i="20"/>
  <c r="AI152" i="20" s="1"/>
  <c r="AJ156" i="20"/>
  <c r="AI173" i="20"/>
  <c r="AI172" i="20"/>
  <c r="AJ71" i="15" l="1"/>
  <c r="AJ80" i="15"/>
  <c r="BT382" i="20"/>
  <c r="BQ43" i="15"/>
  <c r="BU132" i="20"/>
  <c r="BU77" i="15" s="1"/>
  <c r="BU76" i="15"/>
  <c r="BT179" i="20"/>
  <c r="BT181" i="20" s="1"/>
  <c r="BT78" i="15" s="1"/>
  <c r="BU400" i="20"/>
  <c r="BU360" i="20"/>
  <c r="BU362" i="20" s="1"/>
  <c r="BV309" i="20"/>
  <c r="BV312" i="20" s="1"/>
  <c r="BV313" i="20" s="1"/>
  <c r="BV128" i="20"/>
  <c r="BV131" i="20" s="1"/>
  <c r="AJ84" i="20"/>
  <c r="AJ83" i="20"/>
  <c r="AJ82" i="20"/>
  <c r="AJ76" i="20"/>
  <c r="AJ62" i="20" s="1"/>
  <c r="AK66" i="20"/>
  <c r="AK58" i="15" s="1"/>
  <c r="AK257" i="20"/>
  <c r="AK243" i="20" s="1"/>
  <c r="AK265" i="20"/>
  <c r="AK263" i="20"/>
  <c r="AK264" i="20"/>
  <c r="AJ173" i="20"/>
  <c r="AJ172" i="20"/>
  <c r="AK156" i="20"/>
  <c r="AJ166" i="20"/>
  <c r="AJ152" i="20" s="1"/>
  <c r="AJ174" i="20"/>
  <c r="AK353" i="20"/>
  <c r="AK347" i="20"/>
  <c r="AK333" i="20" s="1"/>
  <c r="AK355" i="20"/>
  <c r="AK354" i="20"/>
  <c r="AK71" i="15" l="1"/>
  <c r="AK80" i="15"/>
  <c r="BU179" i="20"/>
  <c r="BU181" i="20" s="1"/>
  <c r="BU78" i="15" s="1"/>
  <c r="BR43" i="15"/>
  <c r="BU382" i="20"/>
  <c r="BV132" i="20"/>
  <c r="BV77" i="15" s="1"/>
  <c r="BV76" i="15"/>
  <c r="BV360" i="20"/>
  <c r="BV362" i="20" s="1"/>
  <c r="BV400" i="20"/>
  <c r="BW309" i="20"/>
  <c r="BW312" i="20" s="1"/>
  <c r="BW313" i="20" s="1"/>
  <c r="BW128" i="20"/>
  <c r="BW131" i="20" s="1"/>
  <c r="AK83" i="20"/>
  <c r="AK82" i="20"/>
  <c r="AK84" i="20"/>
  <c r="AK76" i="20"/>
  <c r="AK62" i="20" s="1"/>
  <c r="AL66" i="20"/>
  <c r="AL58" i="15" s="1"/>
  <c r="AK172" i="20"/>
  <c r="AK173" i="20"/>
  <c r="AL156" i="20"/>
  <c r="AK166" i="20"/>
  <c r="AK152" i="20" s="1"/>
  <c r="AK174" i="20"/>
  <c r="AL347" i="20"/>
  <c r="AL333" i="20" s="1"/>
  <c r="AL353" i="20"/>
  <c r="AL355" i="20"/>
  <c r="AL354" i="20"/>
  <c r="AL265" i="20"/>
  <c r="AL264" i="20"/>
  <c r="AL257" i="20"/>
  <c r="AL243" i="20" s="1"/>
  <c r="AL263" i="20"/>
  <c r="AL71" i="15" l="1"/>
  <c r="AL80" i="15"/>
  <c r="BV179" i="20"/>
  <c r="BV181" i="20" s="1"/>
  <c r="BV78" i="15" s="1"/>
  <c r="BS43" i="15"/>
  <c r="BW132" i="20"/>
  <c r="BW77" i="15" s="1"/>
  <c r="BW76" i="15"/>
  <c r="BV382" i="20"/>
  <c r="BW360" i="20"/>
  <c r="BW362" i="20" s="1"/>
  <c r="BW400" i="20"/>
  <c r="BX309" i="20"/>
  <c r="BX312" i="20" s="1"/>
  <c r="BX313" i="20" s="1"/>
  <c r="BX128" i="20"/>
  <c r="BX131" i="20" s="1"/>
  <c r="AL82" i="20"/>
  <c r="AL84" i="20"/>
  <c r="AL76" i="20"/>
  <c r="AL62" i="20" s="1"/>
  <c r="AM66" i="20"/>
  <c r="AM58" i="15" s="1"/>
  <c r="AL83" i="20"/>
  <c r="AM347" i="20"/>
  <c r="AM333" i="20" s="1"/>
  <c r="AM355" i="20"/>
  <c r="AM354" i="20"/>
  <c r="AM353" i="20"/>
  <c r="AL172" i="20"/>
  <c r="AL173" i="20"/>
  <c r="AM156" i="20"/>
  <c r="AL166" i="20"/>
  <c r="AL152" i="20" s="1"/>
  <c r="AL174" i="20"/>
  <c r="AM264" i="20"/>
  <c r="AM263" i="20"/>
  <c r="AM265" i="20"/>
  <c r="AM257" i="20"/>
  <c r="AM243" i="20" s="1"/>
  <c r="AM80" i="15" l="1"/>
  <c r="AM71" i="15"/>
  <c r="BW382" i="20"/>
  <c r="BX132" i="20"/>
  <c r="BX77" i="15" s="1"/>
  <c r="BX76" i="15"/>
  <c r="BT43" i="15"/>
  <c r="BW179" i="20"/>
  <c r="BW181" i="20" s="1"/>
  <c r="BW78" i="15" s="1"/>
  <c r="BX360" i="20"/>
  <c r="BX362" i="20" s="1"/>
  <c r="BX400" i="20"/>
  <c r="BY309" i="20"/>
  <c r="BY312" i="20" s="1"/>
  <c r="BY313" i="20" s="1"/>
  <c r="BY128" i="20"/>
  <c r="BY131" i="20" s="1"/>
  <c r="AM84" i="20"/>
  <c r="AM76" i="20"/>
  <c r="AM62" i="20" s="1"/>
  <c r="AN66" i="20"/>
  <c r="AN58" i="15" s="1"/>
  <c r="AM83" i="20"/>
  <c r="AM82" i="20"/>
  <c r="AN355" i="20"/>
  <c r="AN354" i="20"/>
  <c r="AN353" i="20"/>
  <c r="AN347" i="20"/>
  <c r="AN333" i="20" s="1"/>
  <c r="AM172" i="20"/>
  <c r="AM173" i="20"/>
  <c r="AM174" i="20"/>
  <c r="AM166" i="20"/>
  <c r="AM152" i="20" s="1"/>
  <c r="AN156" i="20"/>
  <c r="AN265" i="20"/>
  <c r="AN263" i="20"/>
  <c r="AN264" i="20"/>
  <c r="AN257" i="20"/>
  <c r="AN243" i="20" s="1"/>
  <c r="AN71" i="15" l="1"/>
  <c r="AN80" i="15"/>
  <c r="BX382" i="20"/>
  <c r="BX179" i="20"/>
  <c r="BX181" i="20" s="1"/>
  <c r="BX78" i="15" s="1"/>
  <c r="BY132" i="20"/>
  <c r="BY77" i="15" s="1"/>
  <c r="BY76" i="15"/>
  <c r="BU43" i="15"/>
  <c r="BY400" i="20"/>
  <c r="BY360" i="20"/>
  <c r="BY362" i="20" s="1"/>
  <c r="BZ309" i="20"/>
  <c r="BZ312" i="20" s="1"/>
  <c r="BZ313" i="20" s="1"/>
  <c r="BZ128" i="20"/>
  <c r="BZ131" i="20" s="1"/>
  <c r="AN83" i="20"/>
  <c r="AN84" i="20"/>
  <c r="AN76" i="20"/>
  <c r="AN62" i="20" s="1"/>
  <c r="AO66" i="20"/>
  <c r="AO58" i="15" s="1"/>
  <c r="AN82" i="20"/>
  <c r="AO265" i="20"/>
  <c r="AO264" i="20"/>
  <c r="AO257" i="20"/>
  <c r="AO243" i="20" s="1"/>
  <c r="AO263" i="20"/>
  <c r="AO355" i="20"/>
  <c r="AO354" i="20"/>
  <c r="AO353" i="20"/>
  <c r="AO347" i="20"/>
  <c r="AO333" i="20" s="1"/>
  <c r="AN172" i="20"/>
  <c r="AN173" i="20"/>
  <c r="AN174" i="20"/>
  <c r="AN166" i="20"/>
  <c r="AN152" i="20" s="1"/>
  <c r="AO156" i="20"/>
  <c r="AO71" i="15" l="1"/>
  <c r="AO80" i="15"/>
  <c r="BY179" i="20"/>
  <c r="BY181" i="20" s="1"/>
  <c r="BY78" i="15" s="1"/>
  <c r="BZ132" i="20"/>
  <c r="BZ77" i="15" s="1"/>
  <c r="BZ76" i="15"/>
  <c r="BY382" i="20"/>
  <c r="BV43" i="15"/>
  <c r="BZ400" i="20"/>
  <c r="BZ360" i="20"/>
  <c r="BZ362" i="20" s="1"/>
  <c r="CA309" i="20"/>
  <c r="CA312" i="20" s="1"/>
  <c r="CA313" i="20" s="1"/>
  <c r="CA128" i="20"/>
  <c r="CA131" i="20" s="1"/>
  <c r="AO76" i="20"/>
  <c r="AO62" i="20" s="1"/>
  <c r="AO84" i="20"/>
  <c r="AO83" i="20"/>
  <c r="AO82" i="20"/>
  <c r="AP66" i="20"/>
  <c r="AP58" i="15" s="1"/>
  <c r="AP355" i="20"/>
  <c r="AP354" i="20"/>
  <c r="AP353" i="20"/>
  <c r="AP347" i="20"/>
  <c r="AP333" i="20" s="1"/>
  <c r="AO172" i="20"/>
  <c r="AO173" i="20"/>
  <c r="AO174" i="20"/>
  <c r="AO166" i="20"/>
  <c r="AO152" i="20" s="1"/>
  <c r="AP156" i="20"/>
  <c r="AP264" i="20"/>
  <c r="AP263" i="20"/>
  <c r="AP257" i="20"/>
  <c r="AP243" i="20" s="1"/>
  <c r="AP265" i="20"/>
  <c r="AP71" i="15" l="1"/>
  <c r="AP80" i="15"/>
  <c r="BZ179" i="20"/>
  <c r="BZ181" i="20" s="1"/>
  <c r="BZ78" i="15" s="1"/>
  <c r="BZ382" i="20"/>
  <c r="BW43" i="15"/>
  <c r="CA132" i="20"/>
  <c r="CA77" i="15" s="1"/>
  <c r="CA76" i="15"/>
  <c r="CA400" i="20"/>
  <c r="CA360" i="20"/>
  <c r="CA362" i="20" s="1"/>
  <c r="CB309" i="20"/>
  <c r="CB312" i="20" s="1"/>
  <c r="CB313" i="20" s="1"/>
  <c r="CB128" i="20"/>
  <c r="CB131" i="20" s="1"/>
  <c r="AP83" i="20"/>
  <c r="AP82" i="20"/>
  <c r="AP84" i="20"/>
  <c r="AP76" i="20"/>
  <c r="AP62" i="20" s="1"/>
  <c r="AQ66" i="20"/>
  <c r="AQ58" i="15" s="1"/>
  <c r="AQ263" i="20"/>
  <c r="AQ264" i="20"/>
  <c r="AQ265" i="20"/>
  <c r="AQ257" i="20"/>
  <c r="AQ243" i="20" s="1"/>
  <c r="AQ355" i="20"/>
  <c r="AQ354" i="20"/>
  <c r="AQ353" i="20"/>
  <c r="AQ347" i="20"/>
  <c r="AQ333" i="20" s="1"/>
  <c r="AP173" i="20"/>
  <c r="AP174" i="20"/>
  <c r="AP166" i="20"/>
  <c r="AP152" i="20" s="1"/>
  <c r="AQ156" i="20"/>
  <c r="AP172" i="20"/>
  <c r="AQ71" i="15" l="1"/>
  <c r="AQ80" i="15"/>
  <c r="CA179" i="20"/>
  <c r="CA181" i="20" s="1"/>
  <c r="CA78" i="15" s="1"/>
  <c r="CB132" i="20"/>
  <c r="CB77" i="15" s="1"/>
  <c r="CB76" i="15"/>
  <c r="CA382" i="20"/>
  <c r="BX43" i="15"/>
  <c r="CB400" i="20"/>
  <c r="CB360" i="20"/>
  <c r="CB362" i="20" s="1"/>
  <c r="CC309" i="20"/>
  <c r="CC312" i="20" s="1"/>
  <c r="CC313" i="20" s="1"/>
  <c r="CC128" i="20"/>
  <c r="CC131" i="20" s="1"/>
  <c r="AQ83" i="20"/>
  <c r="AQ82" i="20"/>
  <c r="AQ84" i="20"/>
  <c r="AQ76" i="20"/>
  <c r="AQ62" i="20" s="1"/>
  <c r="AR66" i="20"/>
  <c r="AR58" i="15" s="1"/>
  <c r="AR354" i="20"/>
  <c r="AR353" i="20"/>
  <c r="AR347" i="20"/>
  <c r="AR333" i="20" s="1"/>
  <c r="AR355" i="20"/>
  <c r="AR265" i="20"/>
  <c r="AR257" i="20"/>
  <c r="AR243" i="20" s="1"/>
  <c r="AR264" i="20"/>
  <c r="AR263" i="20"/>
  <c r="AQ174" i="20"/>
  <c r="AQ166" i="20"/>
  <c r="AQ152" i="20" s="1"/>
  <c r="AR156" i="20"/>
  <c r="AQ173" i="20"/>
  <c r="AQ172" i="20"/>
  <c r="AR71" i="15" l="1"/>
  <c r="AR80" i="15"/>
  <c r="CB382" i="20"/>
  <c r="CB179" i="20"/>
  <c r="CB181" i="20" s="1"/>
  <c r="CB78" i="15" s="1"/>
  <c r="BY43" i="15"/>
  <c r="CC132" i="20"/>
  <c r="CC77" i="15" s="1"/>
  <c r="CC76" i="15"/>
  <c r="CC400" i="20"/>
  <c r="CC360" i="20"/>
  <c r="CC362" i="20" s="1"/>
  <c r="CD309" i="20"/>
  <c r="CD312" i="20" s="1"/>
  <c r="CD313" i="20" s="1"/>
  <c r="CD128" i="20"/>
  <c r="CD131" i="20" s="1"/>
  <c r="AR84" i="20"/>
  <c r="AR83" i="20"/>
  <c r="AR82" i="20"/>
  <c r="AR76" i="20"/>
  <c r="AR62" i="20" s="1"/>
  <c r="AS66" i="20"/>
  <c r="AS58" i="15" s="1"/>
  <c r="AR173" i="20"/>
  <c r="AR174" i="20"/>
  <c r="AS156" i="20"/>
  <c r="AR166" i="20"/>
  <c r="AR152" i="20" s="1"/>
  <c r="AR172" i="20"/>
  <c r="AS353" i="20"/>
  <c r="AS347" i="20"/>
  <c r="AS333" i="20" s="1"/>
  <c r="AS355" i="20"/>
  <c r="AS354" i="20"/>
  <c r="AS257" i="20"/>
  <c r="AS243" i="20" s="1"/>
  <c r="AS264" i="20"/>
  <c r="AS263" i="20"/>
  <c r="AS265" i="20"/>
  <c r="AS71" i="15" l="1"/>
  <c r="AS80" i="15"/>
  <c r="CC179" i="20"/>
  <c r="CC181" i="20" s="1"/>
  <c r="CC78" i="15" s="1"/>
  <c r="CC382" i="20"/>
  <c r="CD132" i="20"/>
  <c r="CD77" i="15" s="1"/>
  <c r="CD76" i="15"/>
  <c r="BZ43" i="15"/>
  <c r="CD400" i="20"/>
  <c r="CD360" i="20"/>
  <c r="CD362" i="20" s="1"/>
  <c r="CE309" i="20"/>
  <c r="CE312" i="20" s="1"/>
  <c r="CE313" i="20" s="1"/>
  <c r="CE128" i="20"/>
  <c r="CE131" i="20" s="1"/>
  <c r="AS83" i="20"/>
  <c r="AS82" i="20"/>
  <c r="AS76" i="20"/>
  <c r="AS62" i="20" s="1"/>
  <c r="AT66" i="20"/>
  <c r="AT58" i="15" s="1"/>
  <c r="AS84" i="20"/>
  <c r="AS172" i="20"/>
  <c r="AS166" i="20"/>
  <c r="AS152" i="20" s="1"/>
  <c r="AS174" i="20"/>
  <c r="AS173" i="20"/>
  <c r="AT156" i="20"/>
  <c r="AT347" i="20"/>
  <c r="AT333" i="20" s="1"/>
  <c r="AT353" i="20"/>
  <c r="AT355" i="20"/>
  <c r="AT354" i="20"/>
  <c r="AT265" i="20"/>
  <c r="AT264" i="20"/>
  <c r="AT263" i="20"/>
  <c r="AT257" i="20"/>
  <c r="AT243" i="20" s="1"/>
  <c r="AT71" i="15" l="1"/>
  <c r="AT80" i="15"/>
  <c r="CD382" i="20"/>
  <c r="CD179" i="20"/>
  <c r="CD181" i="20" s="1"/>
  <c r="CD78" i="15" s="1"/>
  <c r="CE132" i="20"/>
  <c r="CE77" i="15" s="1"/>
  <c r="CE76" i="15"/>
  <c r="CA43" i="15"/>
  <c r="CE400" i="20"/>
  <c r="CE360" i="20"/>
  <c r="CE362" i="20" s="1"/>
  <c r="CF309" i="20"/>
  <c r="CF312" i="20" s="1"/>
  <c r="CF313" i="20" s="1"/>
  <c r="CF128" i="20"/>
  <c r="CF131" i="20" s="1"/>
  <c r="AT82" i="20"/>
  <c r="AT83" i="20"/>
  <c r="AT76" i="20"/>
  <c r="AT62" i="20" s="1"/>
  <c r="AU66" i="20"/>
  <c r="AU58" i="15" s="1"/>
  <c r="AT84" i="20"/>
  <c r="AU347" i="20"/>
  <c r="AU333" i="20" s="1"/>
  <c r="AU355" i="20"/>
  <c r="AU353" i="20"/>
  <c r="AU354" i="20"/>
  <c r="AT172" i="20"/>
  <c r="AT174" i="20"/>
  <c r="AT173" i="20"/>
  <c r="AU156" i="20"/>
  <c r="AT166" i="20"/>
  <c r="AT152" i="20" s="1"/>
  <c r="AU265" i="20"/>
  <c r="AU264" i="20"/>
  <c r="AU263" i="20"/>
  <c r="AU257" i="20"/>
  <c r="AU243" i="20" s="1"/>
  <c r="AU80" i="15" l="1"/>
  <c r="AU71" i="15"/>
  <c r="CE382" i="20"/>
  <c r="CE179" i="20"/>
  <c r="CE181" i="20" s="1"/>
  <c r="CE78" i="15" s="1"/>
  <c r="CF132" i="20"/>
  <c r="CF77" i="15" s="1"/>
  <c r="CF76" i="15"/>
  <c r="CB43" i="15"/>
  <c r="CF360" i="20"/>
  <c r="CF362" i="20" s="1"/>
  <c r="CF400" i="20"/>
  <c r="CG309" i="20"/>
  <c r="CG312" i="20" s="1"/>
  <c r="CG313" i="20" s="1"/>
  <c r="CG128" i="20"/>
  <c r="CG131" i="20" s="1"/>
  <c r="AU84" i="20"/>
  <c r="AU83" i="20"/>
  <c r="AU76" i="20"/>
  <c r="AU62" i="20" s="1"/>
  <c r="AV66" i="20"/>
  <c r="AV58" i="15" s="1"/>
  <c r="AU82" i="20"/>
  <c r="AV263" i="20"/>
  <c r="AV264" i="20"/>
  <c r="AV257" i="20"/>
  <c r="AV243" i="20" s="1"/>
  <c r="AV265" i="20"/>
  <c r="AU172" i="20"/>
  <c r="AU173" i="20"/>
  <c r="AU166" i="20"/>
  <c r="AU152" i="20" s="1"/>
  <c r="AV156" i="20"/>
  <c r="AU174" i="20"/>
  <c r="AV355" i="20"/>
  <c r="AV354" i="20"/>
  <c r="AV353" i="20"/>
  <c r="AV347" i="20"/>
  <c r="AV333" i="20" s="1"/>
  <c r="AV71" i="15" l="1"/>
  <c r="AV80" i="15"/>
  <c r="CF382" i="20"/>
  <c r="CF179" i="20"/>
  <c r="CF181" i="20" s="1"/>
  <c r="CF78" i="15" s="1"/>
  <c r="CG132" i="20"/>
  <c r="CG77" i="15" s="1"/>
  <c r="CG76" i="15"/>
  <c r="CC43" i="15"/>
  <c r="CG400" i="20"/>
  <c r="CG360" i="20"/>
  <c r="CG362" i="20" s="1"/>
  <c r="CH309" i="20"/>
  <c r="CH312" i="20" s="1"/>
  <c r="CH313" i="20" s="1"/>
  <c r="CH128" i="20"/>
  <c r="CH131" i="20" s="1"/>
  <c r="AV83" i="20"/>
  <c r="AV76" i="20"/>
  <c r="AV62" i="20" s="1"/>
  <c r="AW66" i="20"/>
  <c r="AW58" i="15" s="1"/>
  <c r="AV84" i="20"/>
  <c r="AV82" i="20"/>
  <c r="AV172" i="20"/>
  <c r="AV173" i="20"/>
  <c r="AV166" i="20"/>
  <c r="AV152" i="20" s="1"/>
  <c r="AW156" i="20"/>
  <c r="AV174" i="20"/>
  <c r="AW265" i="20"/>
  <c r="AW264" i="20"/>
  <c r="AW257" i="20"/>
  <c r="AW243" i="20" s="1"/>
  <c r="AW263" i="20"/>
  <c r="AW355" i="20"/>
  <c r="AW354" i="20"/>
  <c r="AW353" i="20"/>
  <c r="AW347" i="20"/>
  <c r="AW333" i="20" s="1"/>
  <c r="AW71" i="15" l="1"/>
  <c r="AW80" i="15"/>
  <c r="CG179" i="20"/>
  <c r="CG181" i="20" s="1"/>
  <c r="CG78" i="15" s="1"/>
  <c r="CG382" i="20"/>
  <c r="CH132" i="20"/>
  <c r="CH77" i="15" s="1"/>
  <c r="CH76" i="15"/>
  <c r="CD43" i="15"/>
  <c r="CH400" i="20"/>
  <c r="CH360" i="20"/>
  <c r="CH362" i="20" s="1"/>
  <c r="CI309" i="20"/>
  <c r="CI312" i="20" s="1"/>
  <c r="CI313" i="20" s="1"/>
  <c r="CI128" i="20"/>
  <c r="CI131" i="20" s="1"/>
  <c r="AW84" i="20"/>
  <c r="AX66" i="20"/>
  <c r="AX58" i="15" s="1"/>
  <c r="AW82" i="20"/>
  <c r="AW83" i="20"/>
  <c r="AW76" i="20"/>
  <c r="AW62" i="20" s="1"/>
  <c r="AX355" i="20"/>
  <c r="AX354" i="20"/>
  <c r="AX353" i="20"/>
  <c r="AX347" i="20"/>
  <c r="AX333" i="20" s="1"/>
  <c r="AW172" i="20"/>
  <c r="AW173" i="20"/>
  <c r="AW166" i="20"/>
  <c r="AW152" i="20" s="1"/>
  <c r="AX156" i="20"/>
  <c r="AW174" i="20"/>
  <c r="AX265" i="20"/>
  <c r="AX264" i="20"/>
  <c r="AX263" i="20"/>
  <c r="AX257" i="20"/>
  <c r="AX243" i="20" s="1"/>
  <c r="AX71" i="15" l="1"/>
  <c r="AX80" i="15"/>
  <c r="CH382" i="20"/>
  <c r="CH179" i="20"/>
  <c r="CH181" i="20" s="1"/>
  <c r="CH78" i="15" s="1"/>
  <c r="CI132" i="20"/>
  <c r="CI77" i="15" s="1"/>
  <c r="CI76" i="15"/>
  <c r="CE43" i="15"/>
  <c r="CI400" i="20"/>
  <c r="CI360" i="20"/>
  <c r="CI362" i="20" s="1"/>
  <c r="AX84" i="20"/>
  <c r="AX82" i="20"/>
  <c r="AX83" i="20"/>
  <c r="AX76" i="20"/>
  <c r="AX62" i="20" s="1"/>
  <c r="AY66" i="20"/>
  <c r="AY58" i="15" s="1"/>
  <c r="AX173" i="20"/>
  <c r="AX166" i="20"/>
  <c r="AX152" i="20" s="1"/>
  <c r="AY156" i="20"/>
  <c r="AX174" i="20"/>
  <c r="AX172" i="20"/>
  <c r="AY263" i="20"/>
  <c r="AY257" i="20"/>
  <c r="AY243" i="20" s="1"/>
  <c r="AY265" i="20"/>
  <c r="AY264" i="20"/>
  <c r="AY355" i="20"/>
  <c r="AY354" i="20"/>
  <c r="AY353" i="20"/>
  <c r="AY347" i="20"/>
  <c r="AY333" i="20" s="1"/>
  <c r="AY80" i="15" l="1"/>
  <c r="AY71" i="15"/>
  <c r="CI179" i="20"/>
  <c r="CI181" i="20" s="1"/>
  <c r="CI78" i="15" s="1"/>
  <c r="CI382" i="20"/>
  <c r="CF43" i="15"/>
  <c r="AY82" i="20"/>
  <c r="AY83" i="20"/>
  <c r="AY76" i="20"/>
  <c r="AY62" i="20" s="1"/>
  <c r="AZ66" i="20"/>
  <c r="AZ58" i="15" s="1"/>
  <c r="AY84" i="20"/>
  <c r="AZ354" i="20"/>
  <c r="AZ353" i="20"/>
  <c r="AZ347" i="20"/>
  <c r="AZ333" i="20" s="1"/>
  <c r="AZ355" i="20"/>
  <c r="AZ265" i="20"/>
  <c r="AZ257" i="20"/>
  <c r="AZ243" i="20" s="1"/>
  <c r="AZ263" i="20"/>
  <c r="AZ264" i="20"/>
  <c r="AY174" i="20"/>
  <c r="AY173" i="20"/>
  <c r="AY166" i="20"/>
  <c r="AY152" i="20" s="1"/>
  <c r="AZ156" i="20"/>
  <c r="AY172" i="20"/>
  <c r="AZ71" i="15" l="1"/>
  <c r="AZ80" i="15"/>
  <c r="CG43" i="15"/>
  <c r="AZ84" i="20"/>
  <c r="AZ82" i="20"/>
  <c r="AZ83" i="20"/>
  <c r="AZ76" i="20"/>
  <c r="AZ62" i="20" s="1"/>
  <c r="BA66" i="20"/>
  <c r="BA58" i="15" s="1"/>
  <c r="BA353" i="20"/>
  <c r="BA347" i="20"/>
  <c r="BA333" i="20" s="1"/>
  <c r="BA355" i="20"/>
  <c r="BA354" i="20"/>
  <c r="AZ173" i="20"/>
  <c r="AZ174" i="20"/>
  <c r="AZ172" i="20"/>
  <c r="BA156" i="20"/>
  <c r="AZ166" i="20"/>
  <c r="AZ152" i="20" s="1"/>
  <c r="BA257" i="20"/>
  <c r="BA243" i="20" s="1"/>
  <c r="BA265" i="20"/>
  <c r="BA263" i="20"/>
  <c r="BA264" i="20"/>
  <c r="BA71" i="15" l="1"/>
  <c r="BA80" i="15"/>
  <c r="CH43" i="15"/>
  <c r="BA83" i="20"/>
  <c r="BA82" i="20"/>
  <c r="BA76" i="20"/>
  <c r="BA62" i="20" s="1"/>
  <c r="BB66" i="20"/>
  <c r="BB58" i="15" s="1"/>
  <c r="BA84" i="20"/>
  <c r="BA174" i="20"/>
  <c r="BA172" i="20"/>
  <c r="BB156" i="20"/>
  <c r="BA173" i="20"/>
  <c r="BA166" i="20"/>
  <c r="BA152" i="20" s="1"/>
  <c r="BB347" i="20"/>
  <c r="BB333" i="20" s="1"/>
  <c r="BB353" i="20"/>
  <c r="BB355" i="20"/>
  <c r="BB354" i="20"/>
  <c r="BB264" i="20"/>
  <c r="BB265" i="20"/>
  <c r="BB257" i="20"/>
  <c r="BB243" i="20" s="1"/>
  <c r="BB263" i="20"/>
  <c r="BB71" i="15" l="1"/>
  <c r="BB80" i="15"/>
  <c r="CJ44" i="15"/>
  <c r="CJ43" i="15" s="1"/>
  <c r="CI43" i="15"/>
  <c r="BB82" i="20"/>
  <c r="BB76" i="20"/>
  <c r="BB62" i="20" s="1"/>
  <c r="BC66" i="20"/>
  <c r="BC58" i="15" s="1"/>
  <c r="BB83" i="20"/>
  <c r="BB84" i="20"/>
  <c r="BC264" i="20"/>
  <c r="BC265" i="20"/>
  <c r="BC263" i="20"/>
  <c r="BC257" i="20"/>
  <c r="BC243" i="20" s="1"/>
  <c r="BC347" i="20"/>
  <c r="BC333" i="20" s="1"/>
  <c r="BC355" i="20"/>
  <c r="BC353" i="20"/>
  <c r="BC354" i="20"/>
  <c r="BB172" i="20"/>
  <c r="BB174" i="20"/>
  <c r="BC156" i="20"/>
  <c r="BB173" i="20"/>
  <c r="BB166" i="20"/>
  <c r="BB152" i="20" s="1"/>
  <c r="BC80" i="15" l="1"/>
  <c r="BC71" i="15"/>
  <c r="BC84" i="20"/>
  <c r="BC82" i="20"/>
  <c r="BC76" i="20"/>
  <c r="BC62" i="20" s="1"/>
  <c r="BD66" i="20"/>
  <c r="BD58" i="15" s="1"/>
  <c r="BC83" i="20"/>
  <c r="BD355" i="20"/>
  <c r="BD354" i="20"/>
  <c r="BD353" i="20"/>
  <c r="BD347" i="20"/>
  <c r="BD333" i="20" s="1"/>
  <c r="BD265" i="20"/>
  <c r="BD263" i="20"/>
  <c r="BD264" i="20"/>
  <c r="BD257" i="20"/>
  <c r="BD243" i="20" s="1"/>
  <c r="BC172" i="20"/>
  <c r="BC166" i="20"/>
  <c r="BC152" i="20" s="1"/>
  <c r="BD156" i="20"/>
  <c r="BC174" i="20"/>
  <c r="BC173" i="20"/>
  <c r="BD71" i="15" l="1"/>
  <c r="BD80" i="15"/>
  <c r="BD83" i="20"/>
  <c r="BD76" i="20"/>
  <c r="BD62" i="20" s="1"/>
  <c r="BE66" i="20"/>
  <c r="BE58" i="15" s="1"/>
  <c r="BD84" i="20"/>
  <c r="BD82" i="20"/>
  <c r="BD172" i="20"/>
  <c r="BD166" i="20"/>
  <c r="BD152" i="20" s="1"/>
  <c r="BE156" i="20"/>
  <c r="BD173" i="20"/>
  <c r="BD174" i="20"/>
  <c r="BE355" i="20"/>
  <c r="BE354" i="20"/>
  <c r="BE353" i="20"/>
  <c r="BE347" i="20"/>
  <c r="BE333" i="20" s="1"/>
  <c r="BE264" i="20"/>
  <c r="BE257" i="20"/>
  <c r="BE243" i="20" s="1"/>
  <c r="BE265" i="20"/>
  <c r="BE263" i="20"/>
  <c r="BE71" i="15" l="1"/>
  <c r="BE80" i="15"/>
  <c r="BE83" i="20"/>
  <c r="BE76" i="20"/>
  <c r="BE62" i="20" s="1"/>
  <c r="BF66" i="20"/>
  <c r="BF58" i="15" s="1"/>
  <c r="BE84" i="20"/>
  <c r="BE82" i="20"/>
  <c r="BE172" i="20"/>
  <c r="BE166" i="20"/>
  <c r="BE152" i="20" s="1"/>
  <c r="BF156" i="20"/>
  <c r="BE173" i="20"/>
  <c r="BE174" i="20"/>
  <c r="BF264" i="20"/>
  <c r="BF265" i="20"/>
  <c r="BF263" i="20"/>
  <c r="BF257" i="20"/>
  <c r="BF243" i="20" s="1"/>
  <c r="BF355" i="20"/>
  <c r="BF354" i="20"/>
  <c r="BF353" i="20"/>
  <c r="BF347" i="20"/>
  <c r="BF333" i="20" s="1"/>
  <c r="BF71" i="15" l="1"/>
  <c r="BF80" i="15"/>
  <c r="BF83" i="20"/>
  <c r="BF84" i="20"/>
  <c r="BF82" i="20"/>
  <c r="BF76" i="20"/>
  <c r="BF62" i="20" s="1"/>
  <c r="BG66" i="20"/>
  <c r="BG58" i="15" s="1"/>
  <c r="BG265" i="20"/>
  <c r="BG263" i="20"/>
  <c r="BG264" i="20"/>
  <c r="BG257" i="20"/>
  <c r="BG243" i="20" s="1"/>
  <c r="BG355" i="20"/>
  <c r="BG354" i="20"/>
  <c r="BG353" i="20"/>
  <c r="BG347" i="20"/>
  <c r="BG333" i="20" s="1"/>
  <c r="BF166" i="20"/>
  <c r="BF152" i="20" s="1"/>
  <c r="BG156" i="20"/>
  <c r="BF173" i="20"/>
  <c r="BF174" i="20"/>
  <c r="BF172" i="20"/>
  <c r="BG71" i="15" l="1"/>
  <c r="BG80" i="15"/>
  <c r="CJ49" i="15"/>
  <c r="BG84" i="20"/>
  <c r="BG82" i="20"/>
  <c r="BG83" i="20"/>
  <c r="BG76" i="20"/>
  <c r="BG62" i="20" s="1"/>
  <c r="BH66" i="20"/>
  <c r="BH58" i="15" s="1"/>
  <c r="BH354" i="20"/>
  <c r="BH353" i="20"/>
  <c r="BH347" i="20"/>
  <c r="BH333" i="20" s="1"/>
  <c r="BH355" i="20"/>
  <c r="BG174" i="20"/>
  <c r="BG166" i="20"/>
  <c r="BG152" i="20" s="1"/>
  <c r="BH156" i="20"/>
  <c r="BG173" i="20"/>
  <c r="BG172" i="20"/>
  <c r="BH265" i="20"/>
  <c r="BH257" i="20"/>
  <c r="BH243" i="20" s="1"/>
  <c r="BH264" i="20"/>
  <c r="BH263" i="20"/>
  <c r="BH71" i="15" l="1"/>
  <c r="BH80" i="15"/>
  <c r="BH84" i="20"/>
  <c r="BH82" i="20"/>
  <c r="BH76" i="20"/>
  <c r="BH62" i="20" s="1"/>
  <c r="BI66" i="20"/>
  <c r="BI58" i="15" s="1"/>
  <c r="BH83" i="20"/>
  <c r="BI353" i="20"/>
  <c r="BI347" i="20"/>
  <c r="BI333" i="20" s="1"/>
  <c r="BI355" i="20"/>
  <c r="BI354" i="20"/>
  <c r="BI264" i="20"/>
  <c r="BI257" i="20"/>
  <c r="BI243" i="20" s="1"/>
  <c r="BI263" i="20"/>
  <c r="BI265" i="20"/>
  <c r="BH173" i="20"/>
  <c r="BH174" i="20"/>
  <c r="BH172" i="20"/>
  <c r="BI156" i="20"/>
  <c r="BH166" i="20"/>
  <c r="BH152" i="20" s="1"/>
  <c r="BI71" i="15" l="1"/>
  <c r="BI80" i="15"/>
  <c r="BI83" i="20"/>
  <c r="BI84" i="20"/>
  <c r="BI82" i="20"/>
  <c r="BJ66" i="20"/>
  <c r="BJ58" i="15" s="1"/>
  <c r="BI76" i="20"/>
  <c r="BI62" i="20" s="1"/>
  <c r="BI173" i="20"/>
  <c r="BI174" i="20"/>
  <c r="BI172" i="20"/>
  <c r="BJ156" i="20"/>
  <c r="BI166" i="20"/>
  <c r="BI152" i="20" s="1"/>
  <c r="BJ347" i="20"/>
  <c r="BJ333" i="20" s="1"/>
  <c r="BJ355" i="20"/>
  <c r="BJ354" i="20"/>
  <c r="BJ353" i="20"/>
  <c r="BJ264" i="20"/>
  <c r="BJ263" i="20"/>
  <c r="BJ265" i="20"/>
  <c r="BJ257" i="20"/>
  <c r="BJ243" i="20" s="1"/>
  <c r="BJ71" i="15" l="1"/>
  <c r="BJ80" i="15"/>
  <c r="BJ82" i="20"/>
  <c r="BJ76" i="20"/>
  <c r="BJ62" i="20" s="1"/>
  <c r="BK66" i="20"/>
  <c r="BK58" i="15" s="1"/>
  <c r="BJ84" i="20"/>
  <c r="BJ83" i="20"/>
  <c r="BK347" i="20"/>
  <c r="BK333" i="20" s="1"/>
  <c r="BK355" i="20"/>
  <c r="BK354" i="20"/>
  <c r="BK353" i="20"/>
  <c r="BK264" i="20"/>
  <c r="BK263" i="20"/>
  <c r="BK257" i="20"/>
  <c r="BK243" i="20" s="1"/>
  <c r="BK265" i="20"/>
  <c r="BJ174" i="20"/>
  <c r="BJ172" i="20"/>
  <c r="BK156" i="20"/>
  <c r="BJ166" i="20"/>
  <c r="BJ152" i="20" s="1"/>
  <c r="BJ173" i="20"/>
  <c r="BK80" i="15" l="1"/>
  <c r="BK71" i="15"/>
  <c r="BK84" i="20"/>
  <c r="BK82" i="20"/>
  <c r="BK76" i="20"/>
  <c r="BK62" i="20" s="1"/>
  <c r="BL66" i="20"/>
  <c r="BL58" i="15" s="1"/>
  <c r="BK83" i="20"/>
  <c r="BK172" i="20"/>
  <c r="BK166" i="20"/>
  <c r="BK152" i="20" s="1"/>
  <c r="BL156" i="20"/>
  <c r="BK173" i="20"/>
  <c r="BK174" i="20"/>
  <c r="BL355" i="20"/>
  <c r="BL354" i="20"/>
  <c r="BL353" i="20"/>
  <c r="BL347" i="20"/>
  <c r="BL333" i="20" s="1"/>
  <c r="BL264" i="20"/>
  <c r="BL263" i="20"/>
  <c r="BL265" i="20"/>
  <c r="BL257" i="20"/>
  <c r="BL243" i="20" s="1"/>
  <c r="BL71" i="15" l="1"/>
  <c r="BL80" i="15"/>
  <c r="BL83" i="20"/>
  <c r="BL82" i="20"/>
  <c r="BL76" i="20"/>
  <c r="BL62" i="20" s="1"/>
  <c r="BM66" i="20"/>
  <c r="BM58" i="15" s="1"/>
  <c r="BL84" i="20"/>
  <c r="BM265" i="20"/>
  <c r="BM257" i="20"/>
  <c r="BM243" i="20" s="1"/>
  <c r="BM264" i="20"/>
  <c r="BM263" i="20"/>
  <c r="BL172" i="20"/>
  <c r="BL166" i="20"/>
  <c r="BL152" i="20" s="1"/>
  <c r="BM156" i="20"/>
  <c r="BL173" i="20"/>
  <c r="BL174" i="20"/>
  <c r="BM355" i="20"/>
  <c r="BM354" i="20"/>
  <c r="BM353" i="20"/>
  <c r="BM347" i="20"/>
  <c r="BM333" i="20" s="1"/>
  <c r="BM71" i="15" l="1"/>
  <c r="BM80" i="15"/>
  <c r="BM82" i="20"/>
  <c r="BM76" i="20"/>
  <c r="BM62" i="20" s="1"/>
  <c r="BM83" i="20"/>
  <c r="BM84" i="20"/>
  <c r="BN66" i="20"/>
  <c r="BN58" i="15" s="1"/>
  <c r="BN264" i="20"/>
  <c r="BN263" i="20"/>
  <c r="BN257" i="20"/>
  <c r="BN243" i="20" s="1"/>
  <c r="BN265" i="20"/>
  <c r="BM172" i="20"/>
  <c r="BM166" i="20"/>
  <c r="BM152" i="20" s="1"/>
  <c r="BN156" i="20"/>
  <c r="BM173" i="20"/>
  <c r="BM174" i="20"/>
  <c r="BN355" i="20"/>
  <c r="BN354" i="20"/>
  <c r="BN353" i="20"/>
  <c r="BN347" i="20"/>
  <c r="BN333" i="20" s="1"/>
  <c r="BN71" i="15" l="1"/>
  <c r="BN80" i="15"/>
  <c r="BN83" i="20"/>
  <c r="BN84" i="20"/>
  <c r="BN76" i="20"/>
  <c r="BN62" i="20" s="1"/>
  <c r="BO66" i="20"/>
  <c r="BO58" i="15" s="1"/>
  <c r="BN82" i="20"/>
  <c r="BO355" i="20"/>
  <c r="BO354" i="20"/>
  <c r="BO353" i="20"/>
  <c r="BO347" i="20"/>
  <c r="BO333" i="20" s="1"/>
  <c r="BN166" i="20"/>
  <c r="BN152" i="20" s="1"/>
  <c r="BO156" i="20"/>
  <c r="BN173" i="20"/>
  <c r="BN174" i="20"/>
  <c r="BN172" i="20"/>
  <c r="BO264" i="20"/>
  <c r="BO263" i="20"/>
  <c r="BO265" i="20"/>
  <c r="BO257" i="20"/>
  <c r="BO243" i="20" s="1"/>
  <c r="BO80" i="15" l="1"/>
  <c r="BO71" i="15"/>
  <c r="BO83" i="20"/>
  <c r="BO84" i="20"/>
  <c r="BO76" i="20"/>
  <c r="BO62" i="20" s="1"/>
  <c r="BP66" i="20"/>
  <c r="BP58" i="15" s="1"/>
  <c r="BO82" i="20"/>
  <c r="BP265" i="20"/>
  <c r="BP257" i="20"/>
  <c r="BP243" i="20" s="1"/>
  <c r="BP263" i="20"/>
  <c r="BP264" i="20"/>
  <c r="BO174" i="20"/>
  <c r="BO166" i="20"/>
  <c r="BO152" i="20" s="1"/>
  <c r="BP156" i="20"/>
  <c r="BO173" i="20"/>
  <c r="BO172" i="20"/>
  <c r="BP354" i="20"/>
  <c r="BP353" i="20"/>
  <c r="BP347" i="20"/>
  <c r="BP333" i="20" s="1"/>
  <c r="BP355" i="20"/>
  <c r="BP71" i="15" l="1"/>
  <c r="BP80" i="15"/>
  <c r="BP84" i="20"/>
  <c r="BP83" i="20"/>
  <c r="BP76" i="20"/>
  <c r="BP62" i="20" s="1"/>
  <c r="BQ66" i="20"/>
  <c r="BQ58" i="15" s="1"/>
  <c r="BP82" i="20"/>
  <c r="BQ264" i="20"/>
  <c r="BQ265" i="20"/>
  <c r="BQ257" i="20"/>
  <c r="BQ243" i="20" s="1"/>
  <c r="BQ263" i="20"/>
  <c r="BP173" i="20"/>
  <c r="BP174" i="20"/>
  <c r="BP166" i="20"/>
  <c r="BP152" i="20" s="1"/>
  <c r="BP172" i="20"/>
  <c r="BQ156" i="20"/>
  <c r="BQ353" i="20"/>
  <c r="BQ347" i="20"/>
  <c r="BQ333" i="20" s="1"/>
  <c r="BQ354" i="20"/>
  <c r="BQ355" i="20"/>
  <c r="BQ71" i="15" l="1"/>
  <c r="BQ80" i="15"/>
  <c r="BQ83" i="20"/>
  <c r="BQ84" i="20"/>
  <c r="BQ76" i="20"/>
  <c r="BQ62" i="20" s="1"/>
  <c r="BR66" i="20"/>
  <c r="BR58" i="15" s="1"/>
  <c r="BQ82" i="20"/>
  <c r="BQ173" i="20"/>
  <c r="BQ174" i="20"/>
  <c r="BQ172" i="20"/>
  <c r="BR156" i="20"/>
  <c r="BQ166" i="20"/>
  <c r="BQ152" i="20" s="1"/>
  <c r="BR347" i="20"/>
  <c r="BR333" i="20" s="1"/>
  <c r="BR353" i="20"/>
  <c r="BR355" i="20"/>
  <c r="BR354" i="20"/>
  <c r="BR257" i="20"/>
  <c r="BR243" i="20" s="1"/>
  <c r="BR265" i="20"/>
  <c r="BR264" i="20"/>
  <c r="BR263" i="20"/>
  <c r="BR71" i="15" l="1"/>
  <c r="BR80" i="15"/>
  <c r="BR82" i="20"/>
  <c r="BR84" i="20"/>
  <c r="BR76" i="20"/>
  <c r="BR62" i="20" s="1"/>
  <c r="BS66" i="20"/>
  <c r="BS58" i="15" s="1"/>
  <c r="BR83" i="20"/>
  <c r="BS347" i="20"/>
  <c r="BS333" i="20" s="1"/>
  <c r="BS355" i="20"/>
  <c r="BS353" i="20"/>
  <c r="BS354" i="20"/>
  <c r="BR173" i="20"/>
  <c r="BR174" i="20"/>
  <c r="BR172" i="20"/>
  <c r="BS156" i="20"/>
  <c r="BR166" i="20"/>
  <c r="BR152" i="20" s="1"/>
  <c r="BS263" i="20"/>
  <c r="BS257" i="20"/>
  <c r="BS243" i="20" s="1"/>
  <c r="BS265" i="20"/>
  <c r="BS264" i="20"/>
  <c r="BS80" i="15" l="1"/>
  <c r="BS71" i="15"/>
  <c r="BS84" i="20"/>
  <c r="BS76" i="20"/>
  <c r="BS62" i="20" s="1"/>
  <c r="BT66" i="20"/>
  <c r="BT58" i="15" s="1"/>
  <c r="BS82" i="20"/>
  <c r="BS83" i="20"/>
  <c r="BT263" i="20"/>
  <c r="BT264" i="20"/>
  <c r="BT265" i="20"/>
  <c r="BT257" i="20"/>
  <c r="BT243" i="20" s="1"/>
  <c r="BT355" i="20"/>
  <c r="BT354" i="20"/>
  <c r="BT353" i="20"/>
  <c r="BT347" i="20"/>
  <c r="BT333" i="20" s="1"/>
  <c r="BS174" i="20"/>
  <c r="BS172" i="20"/>
  <c r="BS166" i="20"/>
  <c r="BS152" i="20" s="1"/>
  <c r="BT156" i="20"/>
  <c r="BS173" i="20"/>
  <c r="BT71" i="15" l="1"/>
  <c r="BT80" i="15"/>
  <c r="BT83" i="20"/>
  <c r="BT84" i="20"/>
  <c r="BT76" i="20"/>
  <c r="BT62" i="20" s="1"/>
  <c r="BU66" i="20"/>
  <c r="BU58" i="15" s="1"/>
  <c r="BT82" i="20"/>
  <c r="BU355" i="20"/>
  <c r="BU354" i="20"/>
  <c r="BU353" i="20"/>
  <c r="BU347" i="20"/>
  <c r="BU333" i="20" s="1"/>
  <c r="BT172" i="20"/>
  <c r="BT166" i="20"/>
  <c r="BT152" i="20" s="1"/>
  <c r="BU156" i="20"/>
  <c r="BT174" i="20"/>
  <c r="BT173" i="20"/>
  <c r="BU264" i="20"/>
  <c r="BU265" i="20"/>
  <c r="BU257" i="20"/>
  <c r="BU243" i="20" s="1"/>
  <c r="BU263" i="20"/>
  <c r="BU71" i="15" l="1"/>
  <c r="BU80" i="15"/>
  <c r="BU82" i="20"/>
  <c r="BU84" i="20"/>
  <c r="BV66" i="20"/>
  <c r="BV58" i="15" s="1"/>
  <c r="BU83" i="20"/>
  <c r="BU76" i="20"/>
  <c r="BU62" i="20" s="1"/>
  <c r="BU172" i="20"/>
  <c r="BU166" i="20"/>
  <c r="BU152" i="20" s="1"/>
  <c r="BV156" i="20"/>
  <c r="BU174" i="20"/>
  <c r="BU173" i="20"/>
  <c r="BV355" i="20"/>
  <c r="BV354" i="20"/>
  <c r="BV353" i="20"/>
  <c r="BV347" i="20"/>
  <c r="BV333" i="20" s="1"/>
  <c r="BV263" i="20"/>
  <c r="BV265" i="20"/>
  <c r="BV257" i="20"/>
  <c r="BV243" i="20" s="1"/>
  <c r="BV264" i="20"/>
  <c r="BV71" i="15" l="1"/>
  <c r="BV80" i="15"/>
  <c r="BV82" i="20"/>
  <c r="BV83" i="20"/>
  <c r="BV84" i="20"/>
  <c r="BV76" i="20"/>
  <c r="BV62" i="20" s="1"/>
  <c r="BW66" i="20"/>
  <c r="BW58" i="15" s="1"/>
  <c r="BW263" i="20"/>
  <c r="BW264" i="20"/>
  <c r="BW265" i="20"/>
  <c r="BW257" i="20"/>
  <c r="BW243" i="20" s="1"/>
  <c r="BV166" i="20"/>
  <c r="BV152" i="20" s="1"/>
  <c r="BW156" i="20"/>
  <c r="BV173" i="20"/>
  <c r="BV174" i="20"/>
  <c r="BV172" i="20"/>
  <c r="BW355" i="20"/>
  <c r="BW354" i="20"/>
  <c r="BW353" i="20"/>
  <c r="BW347" i="20"/>
  <c r="BW333" i="20" s="1"/>
  <c r="BW71" i="15" l="1"/>
  <c r="BW80" i="15"/>
  <c r="BW82" i="20"/>
  <c r="BW83" i="20"/>
  <c r="BW84" i="20"/>
  <c r="BW76" i="20"/>
  <c r="BW62" i="20" s="1"/>
  <c r="BX66" i="20"/>
  <c r="BX58" i="15" s="1"/>
  <c r="BX354" i="20"/>
  <c r="BX353" i="20"/>
  <c r="BX347" i="20"/>
  <c r="BX333" i="20" s="1"/>
  <c r="BX355" i="20"/>
  <c r="BW174" i="20"/>
  <c r="BW166" i="20"/>
  <c r="BW152" i="20" s="1"/>
  <c r="BX156" i="20"/>
  <c r="BW173" i="20"/>
  <c r="BW172" i="20"/>
  <c r="BX265" i="20"/>
  <c r="BX264" i="20"/>
  <c r="BX257" i="20"/>
  <c r="BX243" i="20" s="1"/>
  <c r="BX263" i="20"/>
  <c r="BX71" i="15" l="1"/>
  <c r="BX80" i="15"/>
  <c r="BX84" i="20"/>
  <c r="BX83" i="20"/>
  <c r="BX76" i="20"/>
  <c r="BX62" i="20" s="1"/>
  <c r="BY66" i="20"/>
  <c r="BY58" i="15" s="1"/>
  <c r="BX82" i="20"/>
  <c r="BX173" i="20"/>
  <c r="BX174" i="20"/>
  <c r="BX172" i="20"/>
  <c r="BY156" i="20"/>
  <c r="BX166" i="20"/>
  <c r="BX152" i="20" s="1"/>
  <c r="BY353" i="20"/>
  <c r="BY347" i="20"/>
  <c r="BY333" i="20" s="1"/>
  <c r="BY355" i="20"/>
  <c r="BY354" i="20"/>
  <c r="BY264" i="20"/>
  <c r="BY257" i="20"/>
  <c r="BY243" i="20" s="1"/>
  <c r="BY265" i="20"/>
  <c r="BY263" i="20"/>
  <c r="BY71" i="15" l="1"/>
  <c r="BY80" i="15"/>
  <c r="BY83" i="20"/>
  <c r="BY76" i="20"/>
  <c r="BY62" i="20" s="1"/>
  <c r="BZ66" i="20"/>
  <c r="BZ58" i="15" s="1"/>
  <c r="BY84" i="20"/>
  <c r="BY82" i="20"/>
  <c r="BZ265" i="20"/>
  <c r="BZ263" i="20"/>
  <c r="BZ264" i="20"/>
  <c r="BZ257" i="20"/>
  <c r="BZ243" i="20" s="1"/>
  <c r="BY173" i="20"/>
  <c r="BY174" i="20"/>
  <c r="BY172" i="20"/>
  <c r="BZ156" i="20"/>
  <c r="BY166" i="20"/>
  <c r="BY152" i="20" s="1"/>
  <c r="BZ347" i="20"/>
  <c r="BZ333" i="20" s="1"/>
  <c r="BZ353" i="20"/>
  <c r="BZ355" i="20"/>
  <c r="BZ354" i="20"/>
  <c r="BZ71" i="15" l="1"/>
  <c r="BZ80" i="15"/>
  <c r="BZ82" i="20"/>
  <c r="BZ83" i="20"/>
  <c r="BZ76" i="20"/>
  <c r="BZ62" i="20" s="1"/>
  <c r="CA66" i="20"/>
  <c r="CA58" i="15" s="1"/>
  <c r="BZ84" i="20"/>
  <c r="CA263" i="20"/>
  <c r="CA264" i="20"/>
  <c r="CA257" i="20"/>
  <c r="CA243" i="20" s="1"/>
  <c r="CA265" i="20"/>
  <c r="CA347" i="20"/>
  <c r="CA333" i="20" s="1"/>
  <c r="CA355" i="20"/>
  <c r="CA353" i="20"/>
  <c r="CA354" i="20"/>
  <c r="BZ173" i="20"/>
  <c r="BZ174" i="20"/>
  <c r="BZ172" i="20"/>
  <c r="CA156" i="20"/>
  <c r="BZ166" i="20"/>
  <c r="BZ152" i="20" s="1"/>
  <c r="CA80" i="15" l="1"/>
  <c r="CA71" i="15"/>
  <c r="CA84" i="20"/>
  <c r="CA83" i="20"/>
  <c r="CA76" i="20"/>
  <c r="CA62" i="20" s="1"/>
  <c r="CB66" i="20"/>
  <c r="CB58" i="15" s="1"/>
  <c r="CA82" i="20"/>
  <c r="CB355" i="20"/>
  <c r="CB354" i="20"/>
  <c r="CB353" i="20"/>
  <c r="CB347" i="20"/>
  <c r="CB333" i="20" s="1"/>
  <c r="CB263" i="20"/>
  <c r="CB264" i="20"/>
  <c r="CB257" i="20"/>
  <c r="CB243" i="20" s="1"/>
  <c r="CB265" i="20"/>
  <c r="CA173" i="20"/>
  <c r="CA174" i="20"/>
  <c r="CA172" i="20"/>
  <c r="CA166" i="20"/>
  <c r="CA152" i="20" s="1"/>
  <c r="CB156" i="20"/>
  <c r="CB71" i="15" l="1"/>
  <c r="CB80" i="15"/>
  <c r="CB83" i="20"/>
  <c r="CB76" i="20"/>
  <c r="CB62" i="20" s="1"/>
  <c r="CC66" i="20"/>
  <c r="CC58" i="15" s="1"/>
  <c r="CB84" i="20"/>
  <c r="CB82" i="20"/>
  <c r="CC355" i="20"/>
  <c r="CC354" i="20"/>
  <c r="CC353" i="20"/>
  <c r="CC347" i="20"/>
  <c r="CC333" i="20" s="1"/>
  <c r="CB174" i="20"/>
  <c r="CB172" i="20"/>
  <c r="CB166" i="20"/>
  <c r="CB152" i="20" s="1"/>
  <c r="CC156" i="20"/>
  <c r="CB173" i="20"/>
  <c r="CC264" i="20"/>
  <c r="CC257" i="20"/>
  <c r="CC243" i="20" s="1"/>
  <c r="CC263" i="20"/>
  <c r="CC265" i="20"/>
  <c r="CC71" i="15" l="1"/>
  <c r="CC80" i="15"/>
  <c r="CC82" i="20"/>
  <c r="CC84" i="20"/>
  <c r="CD66" i="20"/>
  <c r="CD58" i="15" s="1"/>
  <c r="CC83" i="20"/>
  <c r="CC76" i="20"/>
  <c r="CC62" i="20" s="1"/>
  <c r="CD355" i="20"/>
  <c r="CD354" i="20"/>
  <c r="CD353" i="20"/>
  <c r="CD347" i="20"/>
  <c r="CD333" i="20" s="1"/>
  <c r="CD263" i="20"/>
  <c r="CD264" i="20"/>
  <c r="CD257" i="20"/>
  <c r="CD243" i="20" s="1"/>
  <c r="CD265" i="20"/>
  <c r="CC172" i="20"/>
  <c r="CC166" i="20"/>
  <c r="CC152" i="20" s="1"/>
  <c r="CD156" i="20"/>
  <c r="CC174" i="20"/>
  <c r="CC173" i="20"/>
  <c r="CD71" i="15" l="1"/>
  <c r="CD80" i="15"/>
  <c r="CD84" i="20"/>
  <c r="CD82" i="20"/>
  <c r="CD83" i="20"/>
  <c r="CD76" i="20"/>
  <c r="CD62" i="20" s="1"/>
  <c r="CE66" i="20"/>
  <c r="CE58" i="15" s="1"/>
  <c r="CE355" i="20"/>
  <c r="CE354" i="20"/>
  <c r="CE353" i="20"/>
  <c r="CE347" i="20"/>
  <c r="CE333" i="20" s="1"/>
  <c r="CE263" i="20"/>
  <c r="CE265" i="20"/>
  <c r="CE264" i="20"/>
  <c r="CE257" i="20"/>
  <c r="CE243" i="20" s="1"/>
  <c r="CD166" i="20"/>
  <c r="CD152" i="20" s="1"/>
  <c r="CE156" i="20"/>
  <c r="CD172" i="20"/>
  <c r="CD173" i="20"/>
  <c r="CD174" i="20"/>
  <c r="CE71" i="15" l="1"/>
  <c r="CE80" i="15"/>
  <c r="CE82" i="20"/>
  <c r="CE84" i="20"/>
  <c r="CE83" i="20"/>
  <c r="CE76" i="20"/>
  <c r="CE62" i="20" s="1"/>
  <c r="CF66" i="20"/>
  <c r="CF58" i="15" s="1"/>
  <c r="CE174" i="20"/>
  <c r="CE166" i="20"/>
  <c r="CE152" i="20" s="1"/>
  <c r="CF156" i="20"/>
  <c r="CE173" i="20"/>
  <c r="CE172" i="20"/>
  <c r="CF354" i="20"/>
  <c r="CF353" i="20"/>
  <c r="CF347" i="20"/>
  <c r="CF333" i="20" s="1"/>
  <c r="CF355" i="20"/>
  <c r="CF265" i="20"/>
  <c r="CF264" i="20"/>
  <c r="CF257" i="20"/>
  <c r="CF243" i="20" s="1"/>
  <c r="CF263" i="20"/>
  <c r="CF71" i="15" l="1"/>
  <c r="CF80" i="15"/>
  <c r="CF84" i="20"/>
  <c r="CF82" i="20"/>
  <c r="CF83" i="20"/>
  <c r="CF76" i="20"/>
  <c r="CF62" i="20" s="1"/>
  <c r="CG66" i="20"/>
  <c r="CG58" i="15" s="1"/>
  <c r="CG353" i="20"/>
  <c r="CG347" i="20"/>
  <c r="CG333" i="20" s="1"/>
  <c r="CG355" i="20"/>
  <c r="CG354" i="20"/>
  <c r="CG264" i="20"/>
  <c r="CG257" i="20"/>
  <c r="CG243" i="20" s="1"/>
  <c r="CG265" i="20"/>
  <c r="CG263" i="20"/>
  <c r="CF173" i="20"/>
  <c r="CG156" i="20"/>
  <c r="CF166" i="20"/>
  <c r="CF152" i="20" s="1"/>
  <c r="CF174" i="20"/>
  <c r="CF172" i="20"/>
  <c r="CG71" i="15" l="1"/>
  <c r="CG80" i="15"/>
  <c r="CG83" i="20"/>
  <c r="CG82" i="20"/>
  <c r="CG76" i="20"/>
  <c r="CG62" i="20" s="1"/>
  <c r="CH66" i="20"/>
  <c r="CH58" i="15" s="1"/>
  <c r="CG84" i="20"/>
  <c r="CH264" i="20"/>
  <c r="CH265" i="20"/>
  <c r="CH257" i="20"/>
  <c r="CH243" i="20" s="1"/>
  <c r="CH263" i="20"/>
  <c r="CG173" i="20"/>
  <c r="CG174" i="20"/>
  <c r="CG172" i="20"/>
  <c r="CH156" i="20"/>
  <c r="CG166" i="20"/>
  <c r="CG152" i="20" s="1"/>
  <c r="CH347" i="20"/>
  <c r="CH333" i="20" s="1"/>
  <c r="CH355" i="20"/>
  <c r="CH353" i="20"/>
  <c r="CH354" i="20"/>
  <c r="CH71" i="15" l="1"/>
  <c r="CH80" i="15"/>
  <c r="CH82" i="20"/>
  <c r="CH76" i="20"/>
  <c r="CH62" i="20" s="1"/>
  <c r="CI66" i="20"/>
  <c r="CI58" i="15" s="1"/>
  <c r="CH83" i="20"/>
  <c r="CH84" i="20"/>
  <c r="CI347" i="20"/>
  <c r="CI333" i="20" s="1"/>
  <c r="CI355" i="20"/>
  <c r="CI353" i="20"/>
  <c r="CI354" i="20"/>
  <c r="CI265" i="20"/>
  <c r="CI263" i="20"/>
  <c r="CI257" i="20"/>
  <c r="CI243" i="20" s="1"/>
  <c r="CI264" i="20"/>
  <c r="CH173" i="20"/>
  <c r="CH174" i="20"/>
  <c r="CH172" i="20"/>
  <c r="CH166" i="20"/>
  <c r="CH152" i="20" s="1"/>
  <c r="CI156" i="20"/>
  <c r="CI71" i="15" l="1"/>
  <c r="CI80" i="15"/>
  <c r="CI84" i="20"/>
  <c r="CI76" i="20"/>
  <c r="CI62" i="20" s="1"/>
  <c r="CI83" i="20"/>
  <c r="CI82" i="20"/>
  <c r="CI173" i="20"/>
  <c r="CI174" i="20"/>
  <c r="CI172" i="20"/>
  <c r="CI166" i="20"/>
  <c r="CI152" i="20" s="1"/>
  <c r="G178" i="20" l="1"/>
  <c r="G91" i="20" l="1"/>
  <c r="G65" i="15" s="1"/>
  <c r="G374" i="20"/>
  <c r="G181" i="20"/>
  <c r="G78" i="15" s="1"/>
  <c r="G38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6" authorId="0" shapeId="0" xr:uid="{00000000-0006-0000-0100-00000100000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If additional lines are required please insert into middle of group to ensure automatic calculations pick up all data. Please ensure that you check the yellow shaded calculated cells to ensure they take account of added rows and correctly sum the totals. You can add notes in column L to provide additional explanation if desired.
DO NOT DELETE DEFAULT INPUT ROWS - If unrequired leave blank.
For individual licences - Please list only individual licences (i.e. not used in conjunctive use systems).
For Drought Only Licences -  Please only list licences where DO would confidently be impacted. Ensure licences are not double counted, licences should either be in Unused licences or Drought Only licences and not in both.</t>
        </r>
      </text>
    </comment>
    <comment ref="K67" authorId="0" shapeId="0" xr:uid="{00000000-0006-0000-0100-000002000000}">
      <text>
        <r>
          <rPr>
            <sz val="12"/>
            <color indexed="81"/>
            <rFont val="Tahoma"/>
            <family val="2"/>
          </rPr>
          <t xml:space="preserve">Please state if a licence has been applied for, approved, granted, awaiting mobilisation, or other specified status.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34" authorId="0" shapeId="0" xr:uid="{00000000-0006-0000-0200-000001000000}">
      <text>
        <r>
          <rPr>
            <b/>
            <sz val="9"/>
            <color indexed="81"/>
            <rFont val="Tahoma"/>
            <family val="2"/>
          </rPr>
          <t>Author:</t>
        </r>
        <r>
          <rPr>
            <sz val="9"/>
            <color indexed="81"/>
            <rFont val="Tahoma"/>
            <family val="2"/>
          </rPr>
          <t xml:space="preserve">
TLL at euston as below cap of 2ml/d</t>
        </r>
      </text>
    </comment>
    <comment ref="M34" authorId="0" shapeId="0" xr:uid="{00000000-0006-0000-0200-000002000000}">
      <text>
        <r>
          <rPr>
            <b/>
            <sz val="9"/>
            <color indexed="81"/>
            <rFont val="Tahoma"/>
            <family val="2"/>
          </rPr>
          <t>Author:</t>
        </r>
        <r>
          <rPr>
            <sz val="9"/>
            <color indexed="81"/>
            <rFont val="Tahoma"/>
            <family val="2"/>
          </rPr>
          <t xml:space="preserve">
TLL at euston as below cap 2 ml/d</t>
        </r>
      </text>
    </comment>
    <comment ref="O34" authorId="0" shapeId="0" xr:uid="{00000000-0006-0000-0200-000003000000}">
      <text>
        <r>
          <rPr>
            <b/>
            <sz val="9"/>
            <color indexed="81"/>
            <rFont val="Tahoma"/>
            <family val="2"/>
          </rPr>
          <t>Author:</t>
        </r>
        <r>
          <rPr>
            <sz val="9"/>
            <color indexed="81"/>
            <rFont val="Tahoma"/>
            <family val="2"/>
          </rPr>
          <t xml:space="preserve">
add in TLL at Fowlmere as below cap 0.36Ml/d</t>
        </r>
      </text>
    </comment>
    <comment ref="R34" authorId="0" shapeId="0" xr:uid="{00000000-0006-0000-0200-000004000000}">
      <text>
        <r>
          <rPr>
            <b/>
            <sz val="9"/>
            <color indexed="81"/>
            <rFont val="Tahoma"/>
            <family val="2"/>
          </rPr>
          <t>Author:</t>
        </r>
        <r>
          <rPr>
            <sz val="9"/>
            <color indexed="81"/>
            <rFont val="Tahoma"/>
            <family val="2"/>
          </rPr>
          <t xml:space="preserve">
TLL at Euston and Fowlmer already included in this figure
</t>
        </r>
      </text>
    </comment>
    <comment ref="AB35" authorId="0" shapeId="0" xr:uid="{00000000-0006-0000-0200-000005000000}">
      <text>
        <r>
          <rPr>
            <b/>
            <sz val="9"/>
            <color indexed="81"/>
            <rFont val="Tahoma"/>
            <family val="2"/>
          </rPr>
          <t>Author:</t>
        </r>
        <r>
          <rPr>
            <sz val="9"/>
            <color indexed="81"/>
            <rFont val="Tahoma"/>
            <family val="2"/>
          </rPr>
          <t xml:space="preserve">
Enhanced and BAU+ Hybrid. =26.42
BAU+ = - 35.0Ml/d
Claculated source by source.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<sst xmlns="http://schemas.openxmlformats.org/spreadsheetml/2006/main" count="11397" uniqueCount="2241">
  <si>
    <t>Water Resources Planning Tables 2024</t>
  </si>
  <si>
    <t>Company tables version tracker</t>
  </si>
  <si>
    <t>Version</t>
  </si>
  <si>
    <t>Updates made</t>
  </si>
  <si>
    <t>Date (DD/MM/YY)</t>
  </si>
  <si>
    <t>v1</t>
  </si>
  <si>
    <t xml:space="preserve">EA updates to template to correct:
- minor typo in formulae table 2e, 4 FPW corrected
- error in table 6, 12 FPD (formulae updated)
- Updated WRZ code for ESWHRT and added WRZ code for NAVs - NAVNAV
- Updated data validation in table 1 to included NAVNAV, allowing companies to better reflect these as existing transfers. 
</t>
  </si>
  <si>
    <t>Template Tables information</t>
  </si>
  <si>
    <t>Planning tables template version</t>
  </si>
  <si>
    <t>All queries on the content of this workbook should be sent to:</t>
  </si>
  <si>
    <t>Version date</t>
  </si>
  <si>
    <t>water-company-plan@environment-agency.gov.uk</t>
  </si>
  <si>
    <r>
      <t>wrepp@cyfoethnaturiolcymru.gov.uk</t>
    </r>
    <r>
      <rPr>
        <sz val="10"/>
        <rFont val="Arial"/>
        <family val="2"/>
      </rPr>
      <t xml:space="preserve"> (Welsh areas only)</t>
    </r>
  </si>
  <si>
    <t>Water company information</t>
  </si>
  <si>
    <t>Company:</t>
  </si>
  <si>
    <t>Cambridge Water</t>
  </si>
  <si>
    <t>Base Year:</t>
  </si>
  <si>
    <t>2020/21</t>
  </si>
  <si>
    <t>Signed:</t>
  </si>
  <si>
    <t>D. Clark</t>
  </si>
  <si>
    <t>Dated:</t>
  </si>
  <si>
    <t>Responsible Officer:</t>
  </si>
  <si>
    <t>Daniel Clark</t>
  </si>
  <si>
    <t>Version:</t>
  </si>
  <si>
    <t>[Digital signature is acceptable]</t>
  </si>
  <si>
    <t>Key to cells</t>
  </si>
  <si>
    <t>Workbook contents</t>
  </si>
  <si>
    <t xml:space="preserve">Clear cells - indicate an input is required </t>
  </si>
  <si>
    <t>Worksheet</t>
  </si>
  <si>
    <t>Content</t>
  </si>
  <si>
    <t>1.Base Year</t>
  </si>
  <si>
    <t>Baseline licences and existing transfers</t>
  </si>
  <si>
    <t>Yellow shaded cells - indicates a formula</t>
  </si>
  <si>
    <t>2.WC Level Data</t>
  </si>
  <si>
    <t>Water Company level key metrics and microcomponents</t>
  </si>
  <si>
    <t>3. WRZs</t>
  </si>
  <si>
    <t>DYAA &amp; DYCP Baseline Water Balance, Final Plan Water Balance and preferred options</t>
  </si>
  <si>
    <t>Blue shaded cells - indicate base year data</t>
  </si>
  <si>
    <t>4.Options Appraisal Summary</t>
  </si>
  <si>
    <t>Appraisal of all options with key cost, benefit and natural capital metrics</t>
  </si>
  <si>
    <t>5. Options Benefit</t>
  </si>
  <si>
    <t>Benefits of your poptions across planning period</t>
  </si>
  <si>
    <t xml:space="preserve">Light orange shaded cells - indicate preceding years  </t>
  </si>
  <si>
    <t>5a-5c. Cost Profiles</t>
  </si>
  <si>
    <t>Option cost profile; Option unit cost profiles; worked example</t>
  </si>
  <si>
    <t>6. Drought Plan Links</t>
  </si>
  <si>
    <t>Drought plan links</t>
  </si>
  <si>
    <t>Dark grey shaded cells - indicate that no data entry is required</t>
  </si>
  <si>
    <t>7. Adaptive Programmes</t>
  </si>
  <si>
    <t>Adaptive plan information</t>
  </si>
  <si>
    <t>8. Business Plan Links</t>
  </si>
  <si>
    <t>Links to the Business Plan</t>
  </si>
  <si>
    <t>Green shaded cells - indicates annualised not cumulative figures</t>
  </si>
  <si>
    <t>Key to scenarios</t>
  </si>
  <si>
    <t>Normal Year Annual Average Final Plan - NYAA</t>
  </si>
  <si>
    <t>Dry Year Annual Average Baseline - DYAA</t>
  </si>
  <si>
    <t>Dry Year Annual Average Final Plan - DYAA</t>
  </si>
  <si>
    <t>Dry Year Critical Period Baseline - DYCP</t>
  </si>
  <si>
    <t>Dry Year Critical Period Final Plan - DYCP</t>
  </si>
  <si>
    <t>Back to title page</t>
  </si>
  <si>
    <t>Water Company</t>
  </si>
  <si>
    <t>deployable output (Ml/d)</t>
  </si>
  <si>
    <t>Source Types</t>
  </si>
  <si>
    <t>Table 1a: WC Level - Baseline licences - All individual licences</t>
  </si>
  <si>
    <t>GW</t>
  </si>
  <si>
    <t>WRMP24 Reference</t>
  </si>
  <si>
    <t>Derivation</t>
  </si>
  <si>
    <t>Licence number</t>
  </si>
  <si>
    <t>Source name</t>
  </si>
  <si>
    <t>Source type</t>
  </si>
  <si>
    <t>WRZ Code</t>
  </si>
  <si>
    <t>DYAA deployable output (Ml/d)</t>
  </si>
  <si>
    <t>DYCP deployable output (Ml/d)</t>
  </si>
  <si>
    <t>Annual licensed quantity (Ml/d)</t>
  </si>
  <si>
    <t>Constraints on deployable output</t>
  </si>
  <si>
    <t>Additional notes (if desired)</t>
  </si>
  <si>
    <t>SW:Reservoir</t>
  </si>
  <si>
    <t>0.1BL</t>
  </si>
  <si>
    <t>Sum (0.1BL+...)</t>
  </si>
  <si>
    <t xml:space="preserve"> - </t>
  </si>
  <si>
    <t>SW:River</t>
  </si>
  <si>
    <t>APPW</t>
  </si>
  <si>
    <t>Input</t>
  </si>
  <si>
    <t>6/33/28/*G/0050</t>
  </si>
  <si>
    <t>GREAT ABINGTON PARK</t>
  </si>
  <si>
    <t>CAMCAM</t>
  </si>
  <si>
    <t>licence</t>
  </si>
  <si>
    <t>SW: Tidal Waters</t>
  </si>
  <si>
    <t>BAPW</t>
  </si>
  <si>
    <t>6/33/28/*G/0007</t>
  </si>
  <si>
    <t>BABRAHAM</t>
  </si>
  <si>
    <t>licence condition - augmentation</t>
  </si>
  <si>
    <t>BRPW</t>
  </si>
  <si>
    <t>6/33/44/*G/0221</t>
  </si>
  <si>
    <t xml:space="preserve">BRETTENHAM </t>
  </si>
  <si>
    <t>licence - aggregate</t>
  </si>
  <si>
    <t>DUPW</t>
  </si>
  <si>
    <t>6/33/34/*G/0203</t>
  </si>
  <si>
    <t>DULLINGHAM</t>
  </si>
  <si>
    <t>yield - GWLs</t>
  </si>
  <si>
    <t>DGPW</t>
  </si>
  <si>
    <t>6/33/30/*G/0191</t>
  </si>
  <si>
    <t>DUXFORD GRANGE</t>
  </si>
  <si>
    <t>DAPW</t>
  </si>
  <si>
    <t>6/33/30/*G/0160</t>
  </si>
  <si>
    <t>DUXFORD AIR</t>
  </si>
  <si>
    <t>6/33/30/*G/0167</t>
  </si>
  <si>
    <t>EUPW</t>
  </si>
  <si>
    <t>6/33/42/*G/0107</t>
  </si>
  <si>
    <t xml:space="preserve"> EUSTON</t>
  </si>
  <si>
    <t>FOPW</t>
  </si>
  <si>
    <t>6/33/30/*G/0026</t>
  </si>
  <si>
    <t>FOWLMERE</t>
  </si>
  <si>
    <t>GCPW</t>
  </si>
  <si>
    <t>6/33/30/*G/0192</t>
  </si>
  <si>
    <t>GT CHISHILL</t>
  </si>
  <si>
    <t>GWPW</t>
  </si>
  <si>
    <t>6/33/34/*G/0123</t>
  </si>
  <si>
    <t>GT WILBRAHAM</t>
  </si>
  <si>
    <t>HEPW</t>
  </si>
  <si>
    <t>6/33/30/*G/0169</t>
  </si>
  <si>
    <t>HEYDON</t>
  </si>
  <si>
    <t>HOPW2</t>
  </si>
  <si>
    <t>6/33/28/*G/0052</t>
  </si>
  <si>
    <t>HORSEHEATH</t>
  </si>
  <si>
    <t>licence condition -HOFs</t>
  </si>
  <si>
    <t>LIPW</t>
  </si>
  <si>
    <t>6/33/28/*G/0012</t>
  </si>
  <si>
    <t>LINTON</t>
  </si>
  <si>
    <t>LOPW</t>
  </si>
  <si>
    <t>6/33/30/*G/0193</t>
  </si>
  <si>
    <t>LOWERFIELDS BARLEY</t>
  </si>
  <si>
    <t>MEPW</t>
  </si>
  <si>
    <t>6/33/30/*G/0156</t>
  </si>
  <si>
    <t>MELBOURN</t>
  </si>
  <si>
    <t>MGPW2</t>
  </si>
  <si>
    <t>6/33/30/*G/0171</t>
  </si>
  <si>
    <t xml:space="preserve"> MORDEN GRANGE</t>
  </si>
  <si>
    <t>RIPW</t>
  </si>
  <si>
    <t>6/33/28/*G/0051</t>
  </si>
  <si>
    <t>(RIVEY HILL)</t>
  </si>
  <si>
    <t>SAPW</t>
  </si>
  <si>
    <t>6/33/28/*G/0013</t>
  </si>
  <si>
    <t xml:space="preserve"> SAWSTON</t>
  </si>
  <si>
    <t>6/33/28/*G/0038</t>
  </si>
  <si>
    <t>SAWSTON</t>
  </si>
  <si>
    <t>WEPW</t>
  </si>
  <si>
    <t>6/33/34/*G/0110</t>
  </si>
  <si>
    <t>WESTLEY</t>
  </si>
  <si>
    <t>pump/pressures</t>
  </si>
  <si>
    <t>SIPW</t>
  </si>
  <si>
    <t>6/33/26/*G/0020</t>
  </si>
  <si>
    <t>ST IVES</t>
  </si>
  <si>
    <t>CRPW2</t>
  </si>
  <si>
    <t>6/33/30/*G/0027</t>
  </si>
  <si>
    <t>CROYDON</t>
  </si>
  <si>
    <t>WRMP19 WFD ND</t>
  </si>
  <si>
    <t>KIPW2</t>
  </si>
  <si>
    <t>6/33/32/*G/0007</t>
  </si>
  <si>
    <t>KINGSTON</t>
  </si>
  <si>
    <t>Table 1b: WC Level - Baseline licences - Grouped licences</t>
  </si>
  <si>
    <t>0.2BL</t>
  </si>
  <si>
    <t>Sum (0.2BL+...)</t>
  </si>
  <si>
    <t>Total</t>
  </si>
  <si>
    <t>Group #:</t>
  </si>
  <si>
    <t>[Enter name of group]</t>
  </si>
  <si>
    <t>FUPW &amp; WCPW</t>
  </si>
  <si>
    <t>6/33/34/*G/0179</t>
  </si>
  <si>
    <t>BABRAHAM RD, FULBOURN &amp; WESTON COLVILLE</t>
  </si>
  <si>
    <t>HGPW</t>
  </si>
  <si>
    <t>6/33/27/*G/0039</t>
  </si>
  <si>
    <t>HINXTON GRANGE</t>
  </si>
  <si>
    <t>FD36PW &amp; FD12PW</t>
  </si>
  <si>
    <t>6/33/34/*G/0024</t>
  </si>
  <si>
    <t>FLEAM DYKE</t>
  </si>
  <si>
    <t>Table 1c: WC Level - Baseline licences - Unused licences</t>
  </si>
  <si>
    <t>Reason licence is unused</t>
  </si>
  <si>
    <t>0.3BL</t>
  </si>
  <si>
    <t>Sum (0.3BL+...)</t>
  </si>
  <si>
    <t>6/33/32/*G/0008</t>
  </si>
  <si>
    <t>LORDSBRIDGE</t>
  </si>
  <si>
    <t>out of supply WFD risk</t>
  </si>
  <si>
    <t>6/33/32/*G/0020</t>
  </si>
  <si>
    <t>duplicated volume</t>
  </si>
  <si>
    <t>6/33/26/*G/0019</t>
  </si>
  <si>
    <t>FENSTANTON</t>
  </si>
  <si>
    <t>out of supply</t>
  </si>
  <si>
    <t>Table 1d: WC Level - Baseline licences - Drought only licences</t>
  </si>
  <si>
    <t>0.4BL</t>
  </si>
  <si>
    <t>Sum (0.4BL+...)</t>
  </si>
  <si>
    <t>Table 1e: WC Level - Baseline licences - New licences (within current AMP)</t>
  </si>
  <si>
    <t>Status of licence</t>
  </si>
  <si>
    <t>0.5BL</t>
  </si>
  <si>
    <t>Sum (0.5BL+...)</t>
  </si>
  <si>
    <t>Table 1f: WC Level - Existing transfers - Raw water transfers</t>
  </si>
  <si>
    <t>Transfer name</t>
  </si>
  <si>
    <t>End date of agreement (dd/mm/yyyy)</t>
  </si>
  <si>
    <t>WRZ Code From</t>
  </si>
  <si>
    <t>WRZ Code To</t>
  </si>
  <si>
    <t>Annual limit (Ml/d)</t>
  </si>
  <si>
    <t>Changes to agreement during drought</t>
  </si>
  <si>
    <t>0.6BL</t>
  </si>
  <si>
    <t>Table 1g: WC Level - Existing transfers - Potable water transfers</t>
  </si>
  <si>
    <t>0.7BL</t>
  </si>
  <si>
    <t>Odsey</t>
  </si>
  <si>
    <t>n/a</t>
  </si>
  <si>
    <t>AFWST5</t>
  </si>
  <si>
    <t>Earith Bridge</t>
  </si>
  <si>
    <t>AWSSWC</t>
  </si>
  <si>
    <t>Hadstock</t>
  </si>
  <si>
    <t>Barnham</t>
  </si>
  <si>
    <t>Swaffham</t>
  </si>
  <si>
    <t>yes</t>
  </si>
  <si>
    <t>WRZ</t>
  </si>
  <si>
    <t>Planning Scenario</t>
  </si>
  <si>
    <t>DYAA</t>
  </si>
  <si>
    <t>Table 3a: DYAA - Baseline</t>
  </si>
  <si>
    <t>WRMP24 reference</t>
  </si>
  <si>
    <t>Component</t>
  </si>
  <si>
    <t>Unit</t>
  </si>
  <si>
    <t>Decimal places</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</si>
  <si>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</si>
  <si>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</si>
  <si>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</si>
  <si>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</si>
  <si>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</si>
  <si>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</si>
  <si>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</si>
  <si>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</si>
  <si>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</si>
  <si>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</si>
  <si>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</si>
  <si>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</si>
  <si>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</si>
  <si>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</si>
  <si>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</si>
  <si>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</si>
  <si>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</si>
  <si>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</si>
  <si>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</si>
  <si>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</si>
  <si>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</si>
  <si>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</si>
  <si>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</si>
  <si>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</si>
  <si>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</si>
  <si>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</si>
  <si>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</si>
  <si>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</si>
  <si>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</si>
  <si>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</si>
  <si>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</si>
  <si>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</si>
  <si>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</si>
  <si>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</si>
  <si>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</si>
  <si>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</si>
  <si>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</si>
  <si>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</si>
  <si>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</si>
  <si>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</si>
  <si>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</si>
  <si>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</si>
  <si>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</si>
  <si>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</si>
  <si>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</si>
  <si>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</si>
  <si>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</si>
  <si>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</si>
  <si>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</si>
  <si>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</si>
  <si>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</si>
  <si>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</si>
  <si>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</si>
  <si>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</si>
  <si>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</si>
  <si>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</si>
  <si>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</si>
  <si>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</si>
  <si>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</si>
  <si>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</si>
  <si>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</si>
  <si>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</si>
  <si>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</si>
  <si>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</si>
  <si>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</si>
  <si>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</si>
  <si>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</si>
  <si>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</si>
  <si>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</si>
  <si>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</si>
  <si>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</si>
  <si>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</si>
  <si>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</si>
  <si>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</si>
  <si>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</si>
  <si>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</si>
  <si>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</si>
  <si>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</si>
  <si>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</si>
  <si>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</si>
  <si>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</si>
  <si>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2099-101</t>
  </si>
  <si>
    <t>1BL</t>
  </si>
  <si>
    <t>Raw water abstracted</t>
  </si>
  <si>
    <t>Ml/d</t>
  </si>
  <si>
    <t>1.1BL</t>
  </si>
  <si>
    <t>Non-potable water supplies (if applicable)</t>
  </si>
  <si>
    <t>2BL</t>
  </si>
  <si>
    <t xml:space="preserve">Raw water imported </t>
  </si>
  <si>
    <t>3BL</t>
  </si>
  <si>
    <t>Potable water imported</t>
  </si>
  <si>
    <t>4BL</t>
  </si>
  <si>
    <r>
      <t xml:space="preserve">Raw water exported </t>
    </r>
    <r>
      <rPr>
        <sz val="11"/>
        <color rgb="FFFF0000"/>
        <rFont val="Arial"/>
        <family val="2"/>
      </rPr>
      <t>enter as -ve</t>
    </r>
  </si>
  <si>
    <t>5BL</t>
  </si>
  <si>
    <r>
      <t xml:space="preserve">Potable water exported </t>
    </r>
    <r>
      <rPr>
        <sz val="11"/>
        <color rgb="FFFF0000"/>
        <rFont val="Arial"/>
        <family val="2"/>
      </rPr>
      <t>enter as -ve</t>
    </r>
  </si>
  <si>
    <t>6BL</t>
  </si>
  <si>
    <t>Deployable Output before forecast changes</t>
  </si>
  <si>
    <t>6.1BL</t>
  </si>
  <si>
    <t>Deployable Output post forecast changes</t>
  </si>
  <si>
    <t>6BL + 7BL</t>
  </si>
  <si>
    <t>7BL</t>
  </si>
  <si>
    <t>Baseline forecast changes to Deployable Output</t>
  </si>
  <si>
    <t>sum (7.1BL:7.6BL)</t>
  </si>
  <si>
    <t>7.1BL</t>
  </si>
  <si>
    <t>Change in DO due to climate change</t>
  </si>
  <si>
    <t>7.2BL</t>
  </si>
  <si>
    <r>
      <t xml:space="preserve">Total confirmed DO reductions to restore sustainable abstraction </t>
    </r>
    <r>
      <rPr>
        <sz val="11"/>
        <color rgb="FFFF0000"/>
        <rFont val="Arial"/>
        <family val="2"/>
      </rPr>
      <t>enter as -ve</t>
    </r>
  </si>
  <si>
    <t>7.3BL</t>
  </si>
  <si>
    <r>
      <t xml:space="preserve">Total additional DO reductions for Environmental Destination (excl. any confirmed reductions) </t>
    </r>
    <r>
      <rPr>
        <sz val="11"/>
        <color rgb="FFFF0000"/>
        <rFont val="Arial"/>
        <family val="2"/>
      </rPr>
      <t>enter as -ve</t>
    </r>
  </si>
  <si>
    <t>7.4BL</t>
  </si>
  <si>
    <r>
      <t xml:space="preserve">Change in DO from prolonged Outage reduction </t>
    </r>
    <r>
      <rPr>
        <sz val="11"/>
        <color rgb="FFFF0000"/>
        <rFont val="Arial"/>
        <family val="2"/>
      </rPr>
      <t>enter as -ve</t>
    </r>
  </si>
  <si>
    <t>7.5BL</t>
  </si>
  <si>
    <t>Change in DO from drought measures</t>
  </si>
  <si>
    <t>Zero for baseline</t>
  </si>
  <si>
    <t>7.6BL</t>
  </si>
  <si>
    <t>Total other changes to DO (e.g. nitrates/operational decline)</t>
  </si>
  <si>
    <t>8BL</t>
  </si>
  <si>
    <t xml:space="preserve">Raw water losses, treatment works losses and operational use </t>
  </si>
  <si>
    <t>9BL</t>
  </si>
  <si>
    <t>Total Outage Allowance</t>
  </si>
  <si>
    <t>10BL</t>
  </si>
  <si>
    <t>Water Available For Use (own sources)</t>
  </si>
  <si>
    <t>(6BL + 7BL) - (8BL + 9BL)</t>
  </si>
  <si>
    <t>11BL</t>
  </si>
  <si>
    <t>Total Water Available For Use</t>
  </si>
  <si>
    <t>10BL + sum (2BL:5BL)</t>
  </si>
  <si>
    <t>12BL</t>
  </si>
  <si>
    <t>Water delivered measured non-household</t>
  </si>
  <si>
    <t>12.1BL</t>
  </si>
  <si>
    <t>Non-potable water consumption (if applicable)</t>
  </si>
  <si>
    <t>13BL</t>
  </si>
  <si>
    <t>Water delivered unmeasured non-household</t>
  </si>
  <si>
    <t>14BL</t>
  </si>
  <si>
    <t>Water delivered measured household</t>
  </si>
  <si>
    <t>15BL</t>
  </si>
  <si>
    <t>Water delivered unmeasured household</t>
  </si>
  <si>
    <t>16BL</t>
  </si>
  <si>
    <t>Percentage of consumption driven by climate change</t>
  </si>
  <si>
    <t>%</t>
  </si>
  <si>
    <t>17BL</t>
  </si>
  <si>
    <t>Volume of consumption driven by climate change</t>
  </si>
  <si>
    <t>16BL * (12BL + sum(13BL:15BL) - sum (23BL:26BL))</t>
  </si>
  <si>
    <t>18BL</t>
  </si>
  <si>
    <t>Measured Household - PCC</t>
  </si>
  <si>
    <t>((14BL - 25BL) * 1,000,000) / (39BL *1,000)</t>
  </si>
  <si>
    <t>l/h/d</t>
  </si>
  <si>
    <t>19BL</t>
  </si>
  <si>
    <t>Unmeasured Household - PCC</t>
  </si>
  <si>
    <t>((15BL - 26BL) * 1,000,000) / (40BL *1,000)</t>
  </si>
  <si>
    <t>20BL</t>
  </si>
  <si>
    <t>Average Household - PCC</t>
  </si>
  <si>
    <t>(((14BL - 25BL) + (15BL - 26BL)) * 1,000,000) / ((39BL + 40BL) *1,000)</t>
  </si>
  <si>
    <t>21BL</t>
  </si>
  <si>
    <t>Water taken unbilled</t>
  </si>
  <si>
    <t>22BL</t>
  </si>
  <si>
    <t>Distribution system operational use</t>
  </si>
  <si>
    <t>23BL</t>
  </si>
  <si>
    <t>Measured Non Household - USPL</t>
  </si>
  <si>
    <t>24BL</t>
  </si>
  <si>
    <t>Unmeasured Non Household - USPL</t>
  </si>
  <si>
    <t>25BL</t>
  </si>
  <si>
    <t>Measured Household - USPL</t>
  </si>
  <si>
    <t>26BL</t>
  </si>
  <si>
    <t>Unmeasured Household - USPL</t>
  </si>
  <si>
    <t>27BL</t>
  </si>
  <si>
    <t>Void Properties - USPL</t>
  </si>
  <si>
    <t>28BL</t>
  </si>
  <si>
    <t>Distribution losses</t>
  </si>
  <si>
    <t>29BL</t>
  </si>
  <si>
    <t>Total Leakage</t>
  </si>
  <si>
    <t>sum (23BL:28BL)</t>
  </si>
  <si>
    <t>30BL</t>
  </si>
  <si>
    <t>Leakage/property</t>
  </si>
  <si>
    <t>(29BL * 1,000,000) / (36BL * 1,000)</t>
  </si>
  <si>
    <t>l/prop/d</t>
  </si>
  <si>
    <t>31BL</t>
  </si>
  <si>
    <t>Measured Non Household - properties</t>
  </si>
  <si>
    <t>000's</t>
  </si>
  <si>
    <t>32BL</t>
  </si>
  <si>
    <t>Unmeasured Non Household - properties</t>
  </si>
  <si>
    <t>33BL</t>
  </si>
  <si>
    <t>All void non-households - properties</t>
  </si>
  <si>
    <t>34BL</t>
  </si>
  <si>
    <t>Measured households - properties (excl. void)</t>
  </si>
  <si>
    <t>Year before + sum (34.1BL:34.6BL)</t>
  </si>
  <si>
    <t>34.1BL</t>
  </si>
  <si>
    <t>New build properties - properties</t>
  </si>
  <si>
    <t>Input (new builds in each year)</t>
  </si>
  <si>
    <t>34.2BL</t>
  </si>
  <si>
    <t>Meter optants - properties</t>
  </si>
  <si>
    <t>Input (meter optants in each year)</t>
  </si>
  <si>
    <t>34.3BL</t>
  </si>
  <si>
    <t>Compulsory metering - properties</t>
  </si>
  <si>
    <t>Input (compulsory meters in each year)</t>
  </si>
  <si>
    <t>34.4BL</t>
  </si>
  <si>
    <t>Metering on change of occupancy - properties</t>
  </si>
  <si>
    <t>Input (change of occupancy meters in each year)</t>
  </si>
  <si>
    <t>34.5BL</t>
  </si>
  <si>
    <t>Selective metering  - properties</t>
  </si>
  <si>
    <t>Input (selective meters in each year)</t>
  </si>
  <si>
    <t>34.6BL</t>
  </si>
  <si>
    <t>Other changes to existing metering - properties</t>
  </si>
  <si>
    <t>Input (other changes to meters in each year)</t>
  </si>
  <si>
    <t>34.7BL</t>
  </si>
  <si>
    <t>Measured household void properties</t>
  </si>
  <si>
    <t>35BL</t>
  </si>
  <si>
    <t>Unmeasured households - properties (excl. void)</t>
  </si>
  <si>
    <t>35.1BL</t>
  </si>
  <si>
    <t>Unmeasured household void properties</t>
  </si>
  <si>
    <t>36BL</t>
  </si>
  <si>
    <t>Total Resource Zone Properties (incl. voids)</t>
  </si>
  <si>
    <t>sum (31BL:34BL) + 34.7BL + 35BL + 35.1BL</t>
  </si>
  <si>
    <t>37BL</t>
  </si>
  <si>
    <t>Measured Non Household - Population</t>
  </si>
  <si>
    <t>38BL</t>
  </si>
  <si>
    <t>Unmeasured Non Household - Population</t>
  </si>
  <si>
    <t>39BL</t>
  </si>
  <si>
    <t>Measured Household - Population</t>
  </si>
  <si>
    <t>40BL</t>
  </si>
  <si>
    <t>Unmeasured Household - Population</t>
  </si>
  <si>
    <t>41BL</t>
  </si>
  <si>
    <t>Total Resource Zone Population</t>
  </si>
  <si>
    <t>sum (37BL:40BL)</t>
  </si>
  <si>
    <t>42BL</t>
  </si>
  <si>
    <t>Average household occupancy rate (excl. voids)</t>
  </si>
  <si>
    <t xml:space="preserve">(39BL + 40BL) / (34BL + 35BL) </t>
  </si>
  <si>
    <t>h/prop</t>
  </si>
  <si>
    <t>43BL</t>
  </si>
  <si>
    <t>Total Household Metering penetration (excl. voids)</t>
  </si>
  <si>
    <t>34BL / (34BL + 35BL)</t>
  </si>
  <si>
    <t>44BL</t>
  </si>
  <si>
    <t>Total Household Metering penetration (incl. voids)</t>
  </si>
  <si>
    <t>(34BL) / (34BL + 34.7BL + 35BL + 35.1BL)</t>
  </si>
  <si>
    <t>45BL</t>
  </si>
  <si>
    <t>Distribution input</t>
  </si>
  <si>
    <t>sum (12BL:15BL) +21BL + 22BL + 27BL + 28BL</t>
  </si>
  <si>
    <t>46BL</t>
  </si>
  <si>
    <t>Target headroom (climate change component)</t>
  </si>
  <si>
    <t>47BL</t>
  </si>
  <si>
    <t>Target headroom (All other components)</t>
  </si>
  <si>
    <t>48BL</t>
  </si>
  <si>
    <t>Target Headroom</t>
  </si>
  <si>
    <t>46BL + 47BL</t>
  </si>
  <si>
    <t>49BL</t>
  </si>
  <si>
    <t>Available Headroom</t>
  </si>
  <si>
    <t>11BL - 45BL</t>
  </si>
  <si>
    <t>49.1BL</t>
  </si>
  <si>
    <t>Available non-potable balance (if applicable)</t>
  </si>
  <si>
    <t>1.1BL -12.1BL</t>
  </si>
  <si>
    <t>50BL</t>
  </si>
  <si>
    <t>Supply Demand Balance</t>
  </si>
  <si>
    <t>49BL - 48BL</t>
  </si>
  <si>
    <t>Table 3b: DYAA - Final plan Options</t>
  </si>
  <si>
    <t>Option type</t>
  </si>
  <si>
    <t>Cat ID</t>
  </si>
  <si>
    <t>2099-102</t>
  </si>
  <si>
    <t>2099-103</t>
  </si>
  <si>
    <t>2099-104</t>
  </si>
  <si>
    <t>2099-105</t>
  </si>
  <si>
    <t>2099-106</t>
  </si>
  <si>
    <t>1.11FP</t>
  </si>
  <si>
    <r>
      <t xml:space="preserve">Non potable supplies </t>
    </r>
    <r>
      <rPr>
        <sz val="11"/>
        <color rgb="FFFF0000"/>
        <rFont val="Arial"/>
        <family val="2"/>
      </rPr>
      <t>input reductions as -ve and increases as +ve</t>
    </r>
  </si>
  <si>
    <t>RSNPS</t>
  </si>
  <si>
    <t>2.1FP</t>
  </si>
  <si>
    <r>
      <t xml:space="preserve">Raw water imports </t>
    </r>
    <r>
      <rPr>
        <sz val="11"/>
        <color rgb="FFFF0000"/>
        <rFont val="Arial"/>
        <family val="2"/>
      </rPr>
      <t>input reductions as -ve</t>
    </r>
  </si>
  <si>
    <t>RSRWI</t>
  </si>
  <si>
    <t>3.1FP</t>
  </si>
  <si>
    <r>
      <t xml:space="preserve">Potable water imports </t>
    </r>
    <r>
      <rPr>
        <sz val="11"/>
        <color rgb="FFFF0000"/>
        <rFont val="Arial"/>
        <family val="2"/>
      </rPr>
      <t>input reductions as -ve</t>
    </r>
  </si>
  <si>
    <t>RSPWI</t>
  </si>
  <si>
    <t>4.1FP</t>
  </si>
  <si>
    <r>
      <t xml:space="preserve">Raw water exports </t>
    </r>
    <r>
      <rPr>
        <sz val="11"/>
        <color rgb="FFFF0000"/>
        <rFont val="Arial"/>
        <family val="2"/>
      </rPr>
      <t>input reductions as +ve and increases as -ve</t>
    </r>
  </si>
  <si>
    <t>RSRWE</t>
  </si>
  <si>
    <t>5.1FP</t>
  </si>
  <si>
    <r>
      <t xml:space="preserve">Potable water exports </t>
    </r>
    <r>
      <rPr>
        <sz val="11"/>
        <color rgb="FFFF0000"/>
        <rFont val="Arial"/>
        <family val="2"/>
      </rPr>
      <t>input reductions as +ve and increases as -ve</t>
    </r>
  </si>
  <si>
    <t>RSPWE</t>
  </si>
  <si>
    <t>6.2FP</t>
  </si>
  <si>
    <t>DO benefit from increase raw water abstractions</t>
  </si>
  <si>
    <t>RSRWA</t>
  </si>
  <si>
    <t>6.3FP</t>
  </si>
  <si>
    <t>Other options to increase deployable output</t>
  </si>
  <si>
    <t>RSIPO</t>
  </si>
  <si>
    <t>7.01FP</t>
  </si>
  <si>
    <t>DO benefit from supply side drought measures</t>
  </si>
  <si>
    <t>RSDPS</t>
  </si>
  <si>
    <t>7.02FP</t>
  </si>
  <si>
    <t>Benefit from demand side drought measures</t>
  </si>
  <si>
    <t>RSDPD</t>
  </si>
  <si>
    <t>8.1FP</t>
  </si>
  <si>
    <r>
      <t xml:space="preserve">Reduce raw water losses and operational use 
</t>
    </r>
    <r>
      <rPr>
        <sz val="11"/>
        <color rgb="FFFF0000"/>
        <rFont val="Arial"/>
        <family val="2"/>
      </rPr>
      <t>input as -ve</t>
    </r>
  </si>
  <si>
    <t>RSLOU</t>
  </si>
  <si>
    <t>8.2FP</t>
  </si>
  <si>
    <r>
      <t xml:space="preserve">Reduce treatment works losses </t>
    </r>
    <r>
      <rPr>
        <sz val="11"/>
        <color rgb="FFFF0000"/>
        <rFont val="Arial"/>
        <family val="2"/>
      </rPr>
      <t>input as -ve</t>
    </r>
  </si>
  <si>
    <t>PSTWL</t>
  </si>
  <si>
    <t>9.1FP</t>
  </si>
  <si>
    <r>
      <t xml:space="preserve">Reduce outages </t>
    </r>
    <r>
      <rPr>
        <sz val="11"/>
        <color rgb="FFFF0000"/>
        <rFont val="Arial"/>
        <family val="2"/>
      </rPr>
      <t>input as -ve</t>
    </r>
  </si>
  <si>
    <t>PSROU</t>
  </si>
  <si>
    <t>12.2FP</t>
  </si>
  <si>
    <t>CVMNH</t>
  </si>
  <si>
    <t>13.1FP</t>
  </si>
  <si>
    <t>CVUNH</t>
  </si>
  <si>
    <t>14.1FP</t>
  </si>
  <si>
    <t>CVMHH</t>
  </si>
  <si>
    <t>15.1FP</t>
  </si>
  <si>
    <t>CVUHH</t>
  </si>
  <si>
    <t>21.1FP</t>
  </si>
  <si>
    <t>CSWTU</t>
  </si>
  <si>
    <t>22.1FP</t>
  </si>
  <si>
    <t>DSDOU</t>
  </si>
  <si>
    <t>23.1FP</t>
  </si>
  <si>
    <t>CUMNH</t>
  </si>
  <si>
    <t>24.1FP</t>
  </si>
  <si>
    <t>CUUNH</t>
  </si>
  <si>
    <t>25.1FP</t>
  </si>
  <si>
    <t>CUMHH</t>
  </si>
  <si>
    <t>26.1FP</t>
  </si>
  <si>
    <t>CUUHH</t>
  </si>
  <si>
    <t>27.1FP</t>
  </si>
  <si>
    <t>CUVPP</t>
  </si>
  <si>
    <t>28.1FP</t>
  </si>
  <si>
    <t>DSRDL</t>
  </si>
  <si>
    <t>Table 3c: DYAA - Final plan</t>
  </si>
  <si>
    <t>2099-107</t>
  </si>
  <si>
    <t>2099-108</t>
  </si>
  <si>
    <t>2099-109</t>
  </si>
  <si>
    <t>2099-110</t>
  </si>
  <si>
    <t>1FP</t>
  </si>
  <si>
    <t>1.1FP</t>
  </si>
  <si>
    <t>Non-potable water supplies</t>
  </si>
  <si>
    <t>1.1BL + 1.11FP</t>
  </si>
  <si>
    <t>2FP</t>
  </si>
  <si>
    <t>2BL + 2.1FP</t>
  </si>
  <si>
    <t>3FP</t>
  </si>
  <si>
    <t>3BL + 3.1FP</t>
  </si>
  <si>
    <t>4FP</t>
  </si>
  <si>
    <t>4BL + 4.1FP</t>
  </si>
  <si>
    <t>5FP</t>
  </si>
  <si>
    <t>5BL + 5.1FP</t>
  </si>
  <si>
    <t>6.1FP</t>
  </si>
  <si>
    <t>6.1BL + 6.2FP + 6.3FP +7.01FP +7.02FP</t>
  </si>
  <si>
    <t>8FP</t>
  </si>
  <si>
    <t>Raw water losses, treatment works losses and operational use</t>
  </si>
  <si>
    <t>8BL + 8.1FP + 8.2FP</t>
  </si>
  <si>
    <t>9FP</t>
  </si>
  <si>
    <t>9BL + 9.1FP</t>
  </si>
  <si>
    <t>10FP</t>
  </si>
  <si>
    <t>(6.1FP) - (8FP + 9FP)</t>
  </si>
  <si>
    <t>11FP</t>
  </si>
  <si>
    <t>10FP + sum (2FP:5FP)</t>
  </si>
  <si>
    <t>12FP</t>
  </si>
  <si>
    <t>12BL + 12.2FP</t>
  </si>
  <si>
    <t>12.1FP</t>
  </si>
  <si>
    <t>Non-potable water consumption</t>
  </si>
  <si>
    <t>13FP</t>
  </si>
  <si>
    <t>13BL + 13.1FP</t>
  </si>
  <si>
    <t>14FP</t>
  </si>
  <si>
    <t>14BL + 14.1FP</t>
  </si>
  <si>
    <t>15FP</t>
  </si>
  <si>
    <t>15BL + 15.1FP</t>
  </si>
  <si>
    <t>16FP</t>
  </si>
  <si>
    <t>17FP</t>
  </si>
  <si>
    <t>16FP * (12FP + sum(13FP:15FP) - sum (23FP:26FP))</t>
  </si>
  <si>
    <t>18FP</t>
  </si>
  <si>
    <t>((14FP - 25FP) * 1,000,000) / (39FP * 1000)</t>
  </si>
  <si>
    <t>19FP</t>
  </si>
  <si>
    <t>((15FP - 26FP) * 1,000,000) / (40FP * 1000)</t>
  </si>
  <si>
    <t>20FP</t>
  </si>
  <si>
    <t>(((14FP - 25FP) + (15FP - 26FP)) * 1,000,000)/ ((39FP + 40FP) * 1,000)</t>
  </si>
  <si>
    <t>21FP</t>
  </si>
  <si>
    <t>21BL + 21.1FP</t>
  </si>
  <si>
    <t>22FP</t>
  </si>
  <si>
    <t>22BL + 22.1FP</t>
  </si>
  <si>
    <t>23FP</t>
  </si>
  <si>
    <t>23BL + 23.1FP</t>
  </si>
  <si>
    <t>24FP</t>
  </si>
  <si>
    <t>24BL + 24.1FP</t>
  </si>
  <si>
    <t>25FP</t>
  </si>
  <si>
    <t>25BL + 25.1FP</t>
  </si>
  <si>
    <t>26FP</t>
  </si>
  <si>
    <t>26BL + 26.1BL</t>
  </si>
  <si>
    <t>27FP</t>
  </si>
  <si>
    <t>27BL + 27.1FP</t>
  </si>
  <si>
    <t>28FP</t>
  </si>
  <si>
    <t>28BL + 28.1FP</t>
  </si>
  <si>
    <t>29FP</t>
  </si>
  <si>
    <t>sum (23FP:28FP)</t>
  </si>
  <si>
    <t>30FP</t>
  </si>
  <si>
    <t>(29FP * 1,000,000) / (36FP * 1,000)</t>
  </si>
  <si>
    <t>34FP</t>
  </si>
  <si>
    <t>36FP</t>
  </si>
  <si>
    <t>sum (31FP:34FP) + 34.7FP + 35BL + 35.1BL</t>
  </si>
  <si>
    <t>41FP</t>
  </si>
  <si>
    <t>sum (37FP:40FP)</t>
  </si>
  <si>
    <t>42FP</t>
  </si>
  <si>
    <t xml:space="preserve">(39FP + 40FP) / (34FP + 35FP) </t>
  </si>
  <si>
    <t>43FP</t>
  </si>
  <si>
    <t>34FP / (34FP + 35FP)</t>
  </si>
  <si>
    <t>44FP</t>
  </si>
  <si>
    <t>(34FP) / (34FP + 34.7FP + 35FP + 35.1FP)</t>
  </si>
  <si>
    <t>45FP</t>
  </si>
  <si>
    <t>sum (12FP:15FP) + 21FP + 22FP + 27FP + 28FP</t>
  </si>
  <si>
    <t>48FP</t>
  </si>
  <si>
    <t>46FP + 47FP</t>
  </si>
  <si>
    <t>49FP</t>
  </si>
  <si>
    <t>11FP - 45FP</t>
  </si>
  <si>
    <t>49.1FP</t>
  </si>
  <si>
    <t>1.1FP - 12.1FP</t>
  </si>
  <si>
    <t>50FP</t>
  </si>
  <si>
    <t>49FP - 48FP</t>
  </si>
  <si>
    <t>DYCP</t>
  </si>
  <si>
    <t>Table 3d: DYCP - Baseline</t>
  </si>
  <si>
    <t>Total expected DO reductions to restore sustainable abstraction (Environmental Destination) (excl. any confirmed reductions) enter as -ve</t>
  </si>
  <si>
    <t>Total other changes to DO (specify e.g. Nitrates)</t>
  </si>
  <si>
    <t xml:space="preserve"> </t>
  </si>
  <si>
    <t>Table 3e: DYCP - Final plan Options</t>
  </si>
  <si>
    <t>Raw water imports</t>
  </si>
  <si>
    <t>Table 3f: DYCP - Final plan</t>
  </si>
  <si>
    <t>Data for Charts</t>
  </si>
  <si>
    <t>DYAA Baseline</t>
  </si>
  <si>
    <t>Measured HH consumption</t>
  </si>
  <si>
    <t>Unmeasured HH consumption</t>
  </si>
  <si>
    <t>Non-HH consumption</t>
  </si>
  <si>
    <t>Other demand components</t>
  </si>
  <si>
    <t>Total Water Available for use</t>
  </si>
  <si>
    <t>Total Demand + Target Headroom</t>
  </si>
  <si>
    <t>DYAA Final Plan</t>
  </si>
  <si>
    <t>DYCP Baseline</t>
  </si>
  <si>
    <t>DYCP Final Plan</t>
  </si>
  <si>
    <t>NYAA</t>
  </si>
  <si>
    <t>Table 2a: WC Level Normal Year planning scenario</t>
  </si>
  <si>
    <t>1NY</t>
  </si>
  <si>
    <t>Total Household Consumption</t>
  </si>
  <si>
    <t>2NY</t>
  </si>
  <si>
    <t>3NY</t>
  </si>
  <si>
    <t>Total Non-Household Consumption</t>
  </si>
  <si>
    <t>4NY</t>
  </si>
  <si>
    <t>5NY</t>
  </si>
  <si>
    <t>Table 2b: WC Level DYAA - Microcomponents - Final planning</t>
  </si>
  <si>
    <t>2100-01</t>
  </si>
  <si>
    <t>11FPW</t>
  </si>
  <si>
    <t>sum (11.1FPW:11.9FPW)</t>
  </si>
  <si>
    <t>11.1FPW</t>
  </si>
  <si>
    <t>Measured toilet flushing</t>
  </si>
  <si>
    <t>11.2FPW</t>
  </si>
  <si>
    <t>Measured personal washing</t>
  </si>
  <si>
    <t>11.3FPW</t>
  </si>
  <si>
    <t>Measured clothes washing</t>
  </si>
  <si>
    <t>11.4FPW</t>
  </si>
  <si>
    <t>Measured dish washing</t>
  </si>
  <si>
    <t>11.5FPW</t>
  </si>
  <si>
    <t>Measured miscellaneous internal use</t>
  </si>
  <si>
    <t>11.6FPW</t>
  </si>
  <si>
    <t>Measured external use</t>
  </si>
  <si>
    <t>11.7FPW</t>
  </si>
  <si>
    <t>Measured (other: define)</t>
  </si>
  <si>
    <t>11.8FPW</t>
  </si>
  <si>
    <t>11.9FPW</t>
  </si>
  <si>
    <t>12FPW</t>
  </si>
  <si>
    <t>sum (12.1FPW:12.9FPW)</t>
  </si>
  <si>
    <t>12.1FPW</t>
  </si>
  <si>
    <t>Unmeasured toilet flushing</t>
  </si>
  <si>
    <t>12.2FPW</t>
  </si>
  <si>
    <t>Unmeasured personal washing</t>
  </si>
  <si>
    <t>12.3FPW</t>
  </si>
  <si>
    <t>Unmeasured clothes washing</t>
  </si>
  <si>
    <t>12.4FPW</t>
  </si>
  <si>
    <t>Unmeasured dish washing</t>
  </si>
  <si>
    <t>12.5FPW</t>
  </si>
  <si>
    <t>Unmeasured miscellaneous internal use</t>
  </si>
  <si>
    <t>12.6FPW</t>
  </si>
  <si>
    <t>Unmeasured external use</t>
  </si>
  <si>
    <t>12.7FPW</t>
  </si>
  <si>
    <t>Unmeasured (other: define)</t>
  </si>
  <si>
    <t>12.8FPW</t>
  </si>
  <si>
    <t>12.9FPW</t>
  </si>
  <si>
    <t>Table 2c: WC Level DYAA -
Meter Installations (including meter upgrades) - Final Planning</t>
  </si>
  <si>
    <t>0FPM</t>
  </si>
  <si>
    <t>Total Household Smart Meters (cumulative including existing)</t>
  </si>
  <si>
    <t>1FPM</t>
  </si>
  <si>
    <t>Total household meter installations</t>
  </si>
  <si>
    <t>sum(1.1FPM:1.32FPM)</t>
  </si>
  <si>
    <t>1.1FPM</t>
  </si>
  <si>
    <t>Basic (non-automated) meter installations (household)</t>
  </si>
  <si>
    <t>1.21FPM</t>
  </si>
  <si>
    <t>Automated Meter Reading (AMR) - new installations (household)</t>
  </si>
  <si>
    <t>1.22FPM</t>
  </si>
  <si>
    <t>Automated Meter Reading (AMR) - upgrades from basic meters (household</t>
  </si>
  <si>
    <t>1.31FPM</t>
  </si>
  <si>
    <t>Advanced Metering Infrastructure (AMI) - new installations (household)</t>
  </si>
  <si>
    <t>1.32FPM</t>
  </si>
  <si>
    <t>Automated Meter Infrastructure (AMI) - upgrades from basic or AMR meters (household)</t>
  </si>
  <si>
    <t>2FPM</t>
  </si>
  <si>
    <t>Total non-household meter installations</t>
  </si>
  <si>
    <t>2.1FPM</t>
  </si>
  <si>
    <t>Basic (non-automated) meter installations (non-household)</t>
  </si>
  <si>
    <t>2.2FPM</t>
  </si>
  <si>
    <t>Automated Meter Reading (AMR) -  installations (non-household)</t>
  </si>
  <si>
    <t>2.3FPM</t>
  </si>
  <si>
    <t>Automated Meter Infrastructure (AMI) -  installations (non-household)</t>
  </si>
  <si>
    <t>Table 2d: WC Level DYAA - Key Components - Baseline</t>
  </si>
  <si>
    <t>1BLW</t>
  </si>
  <si>
    <t>Outage Allowance</t>
  </si>
  <si>
    <t>Sum (all WRZ 9BL)</t>
  </si>
  <si>
    <t>2BLW</t>
  </si>
  <si>
    <t>((Sum (all WRZ 14BL: 15BL) - Sum (all WRZ 25BL:26BL))*1,000,000)/((Sum (all WRZ 39BL: 40BL))*1,000)</t>
  </si>
  <si>
    <t>3BLW</t>
  </si>
  <si>
    <t>Household metering penetration incl. voids</t>
  </si>
  <si>
    <t xml:space="preserve">Sum (all WRZ 34BL)  / (Sum (all WRZ 34BL) + Sum (all WRZ 34.7BL: 35.1BL)) </t>
  </si>
  <si>
    <t>4BLW</t>
  </si>
  <si>
    <t>Total non-household consumption</t>
  </si>
  <si>
    <t>Sum (all WRZ 12BL:13BL) - Sum (all WRZ 23BL:24BL)</t>
  </si>
  <si>
    <t>5BLW</t>
  </si>
  <si>
    <t>Sum (all WRZ 29BL)</t>
  </si>
  <si>
    <t>6BLW</t>
  </si>
  <si>
    <t>Sum (all WRZ 45BL)</t>
  </si>
  <si>
    <t>7BLW</t>
  </si>
  <si>
    <t>Sum (all WRZ 48BL)</t>
  </si>
  <si>
    <t>8BLW</t>
  </si>
  <si>
    <t>Sum (all WRZ 10BL)</t>
  </si>
  <si>
    <t>9BLW</t>
  </si>
  <si>
    <t>Sum (all WRZ 11BL)</t>
  </si>
  <si>
    <t>10BLW</t>
  </si>
  <si>
    <t>Sum (all WRZ 50BL)</t>
  </si>
  <si>
    <t>Table 2e: WC Level DYAA - Key Components - Final planning</t>
  </si>
  <si>
    <t>1FPW</t>
  </si>
  <si>
    <t>Sum (all WRZ 9FP)</t>
  </si>
  <si>
    <t>2FPW</t>
  </si>
  <si>
    <t>((Sum (all WRZ 14FP: 15FP) - Sum (all WRZ 25FP:26FP))*1,000,000)/((Sum (all WRZ 39FP: 40FP))*1,000)</t>
  </si>
  <si>
    <t>3FPW</t>
  </si>
  <si>
    <t xml:space="preserve">Sum (all WRZ 34FP) / (Sum (all WRZ 34FP) + Sum (all WRZ 34.7FP: 35.1FP)) </t>
  </si>
  <si>
    <t>4FPW</t>
  </si>
  <si>
    <t>Sum (all WRZ 12FP:13FP) - Sum (all WRZ 23FP:24FP)</t>
  </si>
  <si>
    <t>5FPW</t>
  </si>
  <si>
    <t>Sum (all WRZ 29FP)</t>
  </si>
  <si>
    <t>6FPW</t>
  </si>
  <si>
    <t>Sum (all WRZ 45FP)</t>
  </si>
  <si>
    <t>7FPW</t>
  </si>
  <si>
    <t>Sum (all WRZ 48FP)</t>
  </si>
  <si>
    <t>8FPW</t>
  </si>
  <si>
    <t>Sum (all WRZ 10FP)</t>
  </si>
  <si>
    <t>9FPW</t>
  </si>
  <si>
    <t>Sum (all WRZ 11FP)</t>
  </si>
  <si>
    <t>10FPW</t>
  </si>
  <si>
    <t>Sum (all WRZ 50FP)</t>
  </si>
  <si>
    <t>All Non-Household Properties (incl. voids)</t>
  </si>
  <si>
    <t>Sum (all WRZ 31FP:33FP)</t>
  </si>
  <si>
    <t>All Household Properties (incl. voids)</t>
  </si>
  <si>
    <t>Sum (all WRZ 34FP) + Sum (all WRZ 34.7FP:35.1FP)</t>
  </si>
  <si>
    <t>Table 2f: WC Level DYAA -
Levels of Service - Final Planning</t>
  </si>
  <si>
    <t>1.1FPL</t>
  </si>
  <si>
    <t>Temporary Use Bans (modelled)</t>
  </si>
  <si>
    <t xml:space="preserve">% </t>
  </si>
  <si>
    <t>1.2FPL</t>
  </si>
  <si>
    <t>Temporary Use Bans (minimum)</t>
  </si>
  <si>
    <t>2.1FPL</t>
  </si>
  <si>
    <t>Drought Permits/Orders (modelled)</t>
  </si>
  <si>
    <t>2.2FPL</t>
  </si>
  <si>
    <t>Drought Permits/Orders (minimum)</t>
  </si>
  <si>
    <t>3.1FPL</t>
  </si>
  <si>
    <t>Non Essential Use Bans (modelled)</t>
  </si>
  <si>
    <t>3.2FPL</t>
  </si>
  <si>
    <t>Non Essential Use Bans (minimum)</t>
  </si>
  <si>
    <t>4.1FPL</t>
  </si>
  <si>
    <t>Emergency Drought Orders (modelled)</t>
  </si>
  <si>
    <t>4.2FPL</t>
  </si>
  <si>
    <t>Emergency Drought Orders (minimum)</t>
  </si>
  <si>
    <t>Table 4: WC Level - Options Appraisal Summary</t>
  </si>
  <si>
    <t>Natural capital Summary</t>
  </si>
  <si>
    <t xml:space="preserve">Biodiversity and Habitat </t>
  </si>
  <si>
    <t>Climate Regulation</t>
  </si>
  <si>
    <t xml:space="preserve">Natural Hazard Regulation </t>
  </si>
  <si>
    <t>Water Purification</t>
  </si>
  <si>
    <t>Water Regulation</t>
  </si>
  <si>
    <t>Recreation and Tourism</t>
  </si>
  <si>
    <t>Agriculture (Natural Capital Metrics)</t>
  </si>
  <si>
    <t>Option ID</t>
  </si>
  <si>
    <t>Option Name</t>
  </si>
  <si>
    <r>
      <t xml:space="preserve">Option type
</t>
    </r>
    <r>
      <rPr>
        <b/>
        <sz val="18"/>
        <color rgb="FFFF0000"/>
        <rFont val="Arial"/>
        <family val="2"/>
      </rPr>
      <t>Defined List</t>
    </r>
  </si>
  <si>
    <t>Option Group</t>
  </si>
  <si>
    <r>
      <t xml:space="preserve">WRZ(s) benefitting from option
</t>
    </r>
    <r>
      <rPr>
        <b/>
        <sz val="18"/>
        <color rgb="FFFF0000"/>
        <rFont val="Arial"/>
        <family val="2"/>
      </rPr>
      <t>Defined codes, accept multiples using "," separator, or "Company Wide"</t>
    </r>
  </si>
  <si>
    <t>Option status
Defined</t>
  </si>
  <si>
    <r>
      <t xml:space="preserve">Third Party Option Flag
</t>
    </r>
    <r>
      <rPr>
        <b/>
        <sz val="18"/>
        <color rgb="FFFF0000"/>
        <rFont val="Arial"/>
        <family val="2"/>
      </rPr>
      <t>Y/N</t>
    </r>
  </si>
  <si>
    <t xml:space="preserve">Partnership Option TOTEX - all parties 
(where applicable)
</t>
  </si>
  <si>
    <t>Interdependent Options
(State one or more option IDs)</t>
  </si>
  <si>
    <r>
      <t xml:space="preserve">Preferred (Most Likely) Programme </t>
    </r>
    <r>
      <rPr>
        <b/>
        <sz val="18"/>
        <color rgb="FFFF0000"/>
        <rFont val="Arial"/>
        <family val="2"/>
      </rPr>
      <t>Y/N</t>
    </r>
  </si>
  <si>
    <r>
      <t xml:space="preserve">Least Cost Programme </t>
    </r>
    <r>
      <rPr>
        <b/>
        <sz val="18"/>
        <color rgb="FFFF0000"/>
        <rFont val="Arial"/>
        <family val="2"/>
      </rPr>
      <t>Y/N</t>
    </r>
  </si>
  <si>
    <r>
      <t xml:space="preserve">Ofwat Core Programme </t>
    </r>
    <r>
      <rPr>
        <b/>
        <sz val="18"/>
        <color rgb="FFFF0000"/>
        <rFont val="Arial"/>
        <family val="2"/>
      </rPr>
      <t>Y/N</t>
    </r>
  </si>
  <si>
    <r>
      <t>Alternative Programme 1</t>
    </r>
    <r>
      <rPr>
        <b/>
        <sz val="18"/>
        <color rgb="FFFF0000"/>
        <rFont val="Arial"/>
        <family val="2"/>
      </rPr>
      <t xml:space="preserve">
Y/N</t>
    </r>
  </si>
  <si>
    <r>
      <t xml:space="preserve">Alternative Programme 2
</t>
    </r>
    <r>
      <rPr>
        <b/>
        <sz val="18"/>
        <color rgb="FFFF0000"/>
        <rFont val="Arial"/>
        <family val="2"/>
      </rPr>
      <t>Y/N</t>
    </r>
  </si>
  <si>
    <r>
      <t xml:space="preserve">Alternative Programme 3
</t>
    </r>
    <r>
      <rPr>
        <b/>
        <sz val="18"/>
        <color rgb="FFFF0000"/>
        <rFont val="Arial"/>
        <family val="2"/>
      </rPr>
      <t>Y/N</t>
    </r>
  </si>
  <si>
    <t>Reason for option rejection</t>
  </si>
  <si>
    <t>WRZ transfer is from
Defined List</t>
  </si>
  <si>
    <t>WRZ transfer is to
Defined List</t>
  </si>
  <si>
    <t>Gains in WAFU / Savings in Demand on full implementation (Ml/d)</t>
  </si>
  <si>
    <t>Option benefits lead-in time (Years)</t>
  </si>
  <si>
    <r>
      <t xml:space="preserve">First year of option use in preferred programme (year)
</t>
    </r>
    <r>
      <rPr>
        <b/>
        <sz val="18"/>
        <color rgb="FFFF0000"/>
        <rFont val="Arial"/>
        <family val="2"/>
      </rPr>
      <t>(Preferred programme (most likely) only)</t>
    </r>
  </si>
  <si>
    <t>Totex expenditure prior to option in use (£m)</t>
  </si>
  <si>
    <t>Totex expenditure per annum post option in use under maximum utilisation scenario (£m)</t>
  </si>
  <si>
    <t>Average totex expenditure per annum post option in use (£m)</t>
  </si>
  <si>
    <t>Average option utilisation used for average totex expenditure and operational carbon forecasts (Ml/d)</t>
  </si>
  <si>
    <t>Maximum option utilisation across the planning period (Ml/d)</t>
  </si>
  <si>
    <r>
      <t>Embodied carbon emissions
(tCO</t>
    </r>
    <r>
      <rPr>
        <b/>
        <vertAlign val="subscript"/>
        <sz val="18"/>
        <color rgb="FF000000"/>
        <rFont val="Arial"/>
        <family val="2"/>
      </rPr>
      <t>2</t>
    </r>
    <r>
      <rPr>
        <b/>
        <sz val="18"/>
        <color rgb="FF000000"/>
        <rFont val="Arial"/>
        <family val="2"/>
      </rPr>
      <t xml:space="preserve"> equivalent)</t>
    </r>
  </si>
  <si>
    <r>
      <t>Operational carbon emissions under maximum utilisation scenario
(tCO</t>
    </r>
    <r>
      <rPr>
        <b/>
        <vertAlign val="subscript"/>
        <sz val="18"/>
        <color rgb="FF000000"/>
        <rFont val="Arial"/>
        <family val="2"/>
      </rPr>
      <t>2</t>
    </r>
    <r>
      <rPr>
        <b/>
        <sz val="18"/>
        <color rgb="FF000000"/>
        <rFont val="Arial"/>
        <family val="2"/>
      </rPr>
      <t xml:space="preserve"> equivalent per annum)</t>
    </r>
  </si>
  <si>
    <r>
      <t>Average operational carbon emissions
(tCO</t>
    </r>
    <r>
      <rPr>
        <b/>
        <vertAlign val="subscript"/>
        <sz val="18"/>
        <color rgb="FF000000"/>
        <rFont val="Arial"/>
        <family val="2"/>
      </rPr>
      <t>2</t>
    </r>
    <r>
      <rPr>
        <b/>
        <sz val="18"/>
        <color rgb="FF000000"/>
        <rFont val="Arial"/>
        <family val="2"/>
      </rPr>
      <t xml:space="preserve"> equivalent per annum)</t>
    </r>
  </si>
  <si>
    <t>Total Carbon Cost (£M)</t>
  </si>
  <si>
    <t>Average Incremental Cost (AIC)
(p/m3)</t>
  </si>
  <si>
    <t>Total NPC (£m)</t>
  </si>
  <si>
    <r>
      <t xml:space="preserve">Natural capital impact of option
(define units) - </t>
    </r>
    <r>
      <rPr>
        <sz val="18"/>
        <color rgb="FF000000"/>
        <rFont val="Arial"/>
        <family val="2"/>
      </rPr>
      <t>weighted sum of options' impacts on biodiversity &amp; habitat, climate regulation, natural hazard regulation, water purification, water regulation, recreation &amp; tourism, and agriculture</t>
    </r>
  </si>
  <si>
    <t>B&amp;H
Non-monetised metric where applicable (define units)</t>
  </si>
  <si>
    <t>B&amp;H
Monetised metric where applicable (£M)</t>
  </si>
  <si>
    <t>CR
Non-monetised metric where applicable (define units)</t>
  </si>
  <si>
    <t>CR
Monetised metric where applicable (£M)</t>
  </si>
  <si>
    <t>NHR
Non-monetised metric where applicable (define units)</t>
  </si>
  <si>
    <t>NHR
Monetised metric where applicable (£M)</t>
  </si>
  <si>
    <t>WP
Non-monetised metric where applicable (define units)</t>
  </si>
  <si>
    <t>WP
Monetised metric where applicable (£M)</t>
  </si>
  <si>
    <t>WReg
Non-monetised metric where applicable (define units)</t>
  </si>
  <si>
    <t>WReg
Monetised metric where applicable (£M)</t>
  </si>
  <si>
    <t>R&amp;T
Non-monetised metric where applicable (define units)</t>
  </si>
  <si>
    <t>R&amp;T
Monetised metric where applicable (£M)</t>
  </si>
  <si>
    <t>Agriculture
Monetised metric where applicable (£M)</t>
  </si>
  <si>
    <t>Freeform column 2</t>
  </si>
  <si>
    <t>Freeform column 3</t>
  </si>
  <si>
    <t>Freeform column 4</t>
  </si>
  <si>
    <t>Freeform column 5</t>
  </si>
  <si>
    <t>51aP</t>
  </si>
  <si>
    <t>CW2401A</t>
  </si>
  <si>
    <t>Combined Ouse gravel sources Fenstanton to St Ives 01A</t>
  </si>
  <si>
    <t>Groundwater enhancement</t>
  </si>
  <si>
    <t>Resource Options</t>
  </si>
  <si>
    <t>Company Wide</t>
  </si>
  <si>
    <t>Preferred</t>
  </si>
  <si>
    <t>N</t>
  </si>
  <si>
    <t>Y</t>
  </si>
  <si>
    <t>N/A</t>
  </si>
  <si>
    <t> </t>
  </si>
  <si>
    <t>5.08 ha (temporary &amp; permanent)</t>
  </si>
  <si>
    <t>£0.00152M (temporary &amp; permanent)</t>
  </si>
  <si>
    <t>£0M (temporary &amp; permanent)</t>
  </si>
  <si>
    <t>£13.2932M (temporary &amp; permanent)</t>
  </si>
  <si>
    <t>£0.0688M (temporary &amp; permanent)</t>
  </si>
  <si>
    <t>CW2401B</t>
  </si>
  <si>
    <t>Combined Ouse gravel sources Fenstanton to St Ives 01B</t>
  </si>
  <si>
    <t>New groundwater</t>
  </si>
  <si>
    <t>4.84 ha (temporary &amp; permanent)</t>
  </si>
  <si>
    <t>£0.00264M (temporary &amp; permanent)</t>
  </si>
  <si>
    <t>£0.12696M (temporary &amp; permanent)</t>
  </si>
  <si>
    <t>51aU</t>
  </si>
  <si>
    <t>CW2401C</t>
  </si>
  <si>
    <t>Combined Ouse gravel sources Fenstanton to St Ives 01C</t>
  </si>
  <si>
    <t>Unconstrained</t>
  </si>
  <si>
    <t>Other sub-options more viable to be progressed.</t>
  </si>
  <si>
    <t>51bU</t>
  </si>
  <si>
    <t>CW2402A</t>
  </si>
  <si>
    <t>St Ives Pumping Station 02A</t>
  </si>
  <si>
    <t>New/Enhanced pumping station</t>
  </si>
  <si>
    <t>Production Options</t>
  </si>
  <si>
    <t>Option is being developed in AMP7.</t>
  </si>
  <si>
    <t>CW2402B</t>
  </si>
  <si>
    <t>St Ives Pumping Station 02B</t>
  </si>
  <si>
    <t>CW2403A</t>
  </si>
  <si>
    <t>Lords Bridge Recommission 03A</t>
  </si>
  <si>
    <t>WFD ND - No recent actual abstraction volume.</t>
  </si>
  <si>
    <t>CW2403B</t>
  </si>
  <si>
    <t>Lords Bridge Recommission 03B</t>
  </si>
  <si>
    <t>CW2403C</t>
  </si>
  <si>
    <t>Lords Bridge Recommission 03C</t>
  </si>
  <si>
    <t>CW2404A</t>
  </si>
  <si>
    <t>Ouse Gravel Works 04A</t>
  </si>
  <si>
    <t>New surface water</t>
  </si>
  <si>
    <t>Superseded by CW2473 at the regional scale (WRE) as using the same water source (connection to River Ouse). Also likely to experience a high HOF so flows will be unreliable.</t>
  </si>
  <si>
    <t>CW2404B</t>
  </si>
  <si>
    <t>Ouse Gravel Works 04B</t>
  </si>
  <si>
    <t>New reservoir</t>
  </si>
  <si>
    <t>CW2404C</t>
  </si>
  <si>
    <t>Ouse Gravel Works 04C</t>
  </si>
  <si>
    <t>CW2404D</t>
  </si>
  <si>
    <t>Ouse Gravel Works 04D</t>
  </si>
  <si>
    <t>CW2405A</t>
  </si>
  <si>
    <t>Recommission Croydon 05A</t>
  </si>
  <si>
    <t>Option is being developed in AMP7</t>
  </si>
  <si>
    <t>CW2405B</t>
  </si>
  <si>
    <t>Recommission Croydon 05B</t>
  </si>
  <si>
    <t>CW2406A</t>
  </si>
  <si>
    <t>Recommission Kingston 06A</t>
  </si>
  <si>
    <t>Should be in AMP7</t>
  </si>
  <si>
    <t>CW2406B</t>
  </si>
  <si>
    <t>Recommission Kingston 06B</t>
  </si>
  <si>
    <t>CW2407A</t>
  </si>
  <si>
    <t>Recommission Fleam Dyke 12 07A</t>
  </si>
  <si>
    <t>CW2407B</t>
  </si>
  <si>
    <t>Recommission Fleam Dyke 12 07B</t>
  </si>
  <si>
    <t>CW2407C</t>
  </si>
  <si>
    <t>Recommission Fleam Dyke 12 07C</t>
  </si>
  <si>
    <t>CW2408</t>
  </si>
  <si>
    <t>Optimise Westley Licence</t>
  </si>
  <si>
    <t>Works to be completed in AMP7 capital enhancements.</t>
  </si>
  <si>
    <t>CW2409</t>
  </si>
  <si>
    <t>Optimise Weston Colville Licence</t>
  </si>
  <si>
    <t>No deterioration reasons/risk to licence</t>
  </si>
  <si>
    <t>CW2410A</t>
  </si>
  <si>
    <t>Optimise Morden Grange Licence 10A</t>
  </si>
  <si>
    <t>CW2410B</t>
  </si>
  <si>
    <t>Optimise Morden Grange Licence 10B</t>
  </si>
  <si>
    <t>A similar, alternative option (CW2410D) is preferred</t>
  </si>
  <si>
    <t>CW2410C</t>
  </si>
  <si>
    <t>Optimise Morden Grange Licence 10C</t>
  </si>
  <si>
    <t>CW2410D</t>
  </si>
  <si>
    <t>Optimise Morden Grange Licence 10D</t>
  </si>
  <si>
    <t>Duplicate of CW2410B</t>
  </si>
  <si>
    <t>CW2411A</t>
  </si>
  <si>
    <t>Optimise Melbourn Licence 11A</t>
  </si>
  <si>
    <t>CW2411B</t>
  </si>
  <si>
    <t>Optimise Melbourn Licence 11B</t>
  </si>
  <si>
    <t>CW2412</t>
  </si>
  <si>
    <t>Optimise Gt Wilbraham Licence</t>
  </si>
  <si>
    <t>WFD ND</t>
  </si>
  <si>
    <t>CW2413</t>
  </si>
  <si>
    <t>Consolidate Greensand Licences Croydon</t>
  </si>
  <si>
    <t>EA objection and already AMP7 schemes</t>
  </si>
  <si>
    <t>CW2414</t>
  </si>
  <si>
    <t>Consolidate Greensand Licences Kingston</t>
  </si>
  <si>
    <t>CW2415A</t>
  </si>
  <si>
    <t>AWS Transfer From Wing WTW Or Grafham 15A</t>
  </si>
  <si>
    <t>External raw water bulk supply/transfer</t>
  </si>
  <si>
    <t>Already being explored by AWS and WRE</t>
  </si>
  <si>
    <t>AWSRTS</t>
  </si>
  <si>
    <t>5, 10, 15</t>
  </si>
  <si>
    <t>CW2415B</t>
  </si>
  <si>
    <t>AWS Transfer From Wing WTW Or Grafham 15B</t>
  </si>
  <si>
    <t>Rejected as raw water option and potable supply is the preferred option.</t>
  </si>
  <si>
    <t>CW2415C</t>
  </si>
  <si>
    <t>AWS Transfer From Wing WTW Or Grafham 15C</t>
  </si>
  <si>
    <t>Only very small variation on ones above and can be incorporated in same option</t>
  </si>
  <si>
    <t>CW2416A</t>
  </si>
  <si>
    <t>Transfer/Trade Off With Ely Ouse Essex Transfer Kennett 16A</t>
  </si>
  <si>
    <t>Internal raw water transfer</t>
  </si>
  <si>
    <t>ESWESX</t>
  </si>
  <si>
    <t>CW2416B</t>
  </si>
  <si>
    <t>Transfer/Trade Off With Ely Ouse Essex Transfer Kennett 16B</t>
  </si>
  <si>
    <t>CW2416C</t>
  </si>
  <si>
    <t>Transfer/Trade Off With Ely Ouse Essex Transfer Waterbeach 16C</t>
  </si>
  <si>
    <t>CW2416D</t>
  </si>
  <si>
    <t>Transfer/Trade Off With Ely Ouse Essex Transfer Waterbeach 16D</t>
  </si>
  <si>
    <t>CW2417</t>
  </si>
  <si>
    <t>Affinity Transfer Via Lowerfield Connection</t>
  </si>
  <si>
    <t>Drawing on same resources as AWS</t>
  </si>
  <si>
    <t>CW2418A</t>
  </si>
  <si>
    <t>Affinity Transfer 18A</t>
  </si>
  <si>
    <t>Relies on AWS providing further supply to the local area, which they are already stretched with</t>
  </si>
  <si>
    <t>AWSEXC</t>
  </si>
  <si>
    <t>CW2418B</t>
  </si>
  <si>
    <t>Affinity Transfer 18B</t>
  </si>
  <si>
    <t>Duplicate</t>
  </si>
  <si>
    <t>CW2419</t>
  </si>
  <si>
    <t>Affinity Transfer 19</t>
  </si>
  <si>
    <t>CW2420A</t>
  </si>
  <si>
    <t>Acquire/Trade Unused Licence In The Elveden Estates Area Raw Water To Euston</t>
  </si>
  <si>
    <t>Licence trading</t>
  </si>
  <si>
    <t>On request of recent actual (RA) volumes, the EA did not provide. Instead advised that there was no potential for licence trade.  The EA advised that the  donor source is not located close enough to a CWC source for similar impact on surface water receptors</t>
  </si>
  <si>
    <t>CW2420B</t>
  </si>
  <si>
    <t>Acquire/Trade Unused Licence In The Elveden Estates Area New Treatment Into Thetford Main</t>
  </si>
  <si>
    <t>CW2421A</t>
  </si>
  <si>
    <t>Licence Trade At Barrington 21A</t>
  </si>
  <si>
    <t xml:space="preserve">EA advised tht recent actual (RA) volumes from the Cemex UK Cement Ltd licence were zero. The EA trading position is that only RA quantities can be traded. No RA so no tradeable quantity. </t>
  </si>
  <si>
    <t>CW2421B</t>
  </si>
  <si>
    <t>Licence Trade At Barrington 21B</t>
  </si>
  <si>
    <t>CW2421C</t>
  </si>
  <si>
    <t>Licence Trade At Barrington 21C</t>
  </si>
  <si>
    <t>CW2422A</t>
  </si>
  <si>
    <t>Trade With AWS GW Licences In Thetford Area 22A</t>
  </si>
  <si>
    <t>Spare licence capacity unavailable from AWS. For AWS to make licence capacity available, a substantial new (WRE-level) resource would need to be developed - yet if this were the case then more favourable options would then come into play.</t>
  </si>
  <si>
    <t>CW2422B</t>
  </si>
  <si>
    <t>Trade With AWS GW Licences In Newmarket Area 22B</t>
  </si>
  <si>
    <t>CW2422C</t>
  </si>
  <si>
    <t>AWS Transfer/Trade 22C</t>
  </si>
  <si>
    <t>AWSFND</t>
  </si>
  <si>
    <t>CW2422D</t>
  </si>
  <si>
    <t>AWS Transfer/Trade 22D</t>
  </si>
  <si>
    <t xml:space="preserve">Rejected as limited CW  infrastructure to the north and more favourable options exist. </t>
  </si>
  <si>
    <t>CW2423</t>
  </si>
  <si>
    <t>Consolidate other third party Greensand licences with existing licences at Croydon</t>
  </si>
  <si>
    <t>AWS licences may be committed? Likely to be WFD ND capping issues.</t>
  </si>
  <si>
    <t>CW2424A</t>
  </si>
  <si>
    <t>Develop unused commercial boreholes 24A</t>
  </si>
  <si>
    <t>Licence trading infeasible.</t>
  </si>
  <si>
    <t>CW2424B</t>
  </si>
  <si>
    <t>Other Licence Trading 24B</t>
  </si>
  <si>
    <t>Licence trading opportunities explored in data request to EA. All those except the ones captured in CW24-24A were ruled out (see details in comment)</t>
  </si>
  <si>
    <t>CW2425A</t>
  </si>
  <si>
    <t>Upper Stour Reservoir 25A</t>
  </si>
  <si>
    <t>Alternative to CW2473 and superceded by it at the regional level.</t>
  </si>
  <si>
    <t>CW2425B</t>
  </si>
  <si>
    <t>Upper Stour Reservoir with water sourced from Great Ouse
- Suboption with smaller DO output 25B</t>
  </si>
  <si>
    <t>A similar, alternative option (CW24-25A) is preferred</t>
  </si>
  <si>
    <t>CW2426</t>
  </si>
  <si>
    <t>Great Fen/Mid-Level Commission transfer option</t>
  </si>
  <si>
    <t>Technically difficult and expensive, need to engage with MLC. If Ruthamford supported, other options will be better</t>
  </si>
  <si>
    <t>AWSRTN</t>
  </si>
  <si>
    <t>CW2427</t>
  </si>
  <si>
    <t>Great Fen/Mid-Level Commission Ruthamford transfer option</t>
  </si>
  <si>
    <t>CW2428A</t>
  </si>
  <si>
    <t>Adopt GOGS boreholes for public water supply 28A</t>
  </si>
  <si>
    <t>CW2428B</t>
  </si>
  <si>
    <t>Adopt GOGS boreholes for public water supply 28B</t>
  </si>
  <si>
    <t>CW2428C</t>
  </si>
  <si>
    <t>Adopt GOGS boreholes for public water supply 28C</t>
  </si>
  <si>
    <t>CW2429</t>
  </si>
  <si>
    <t>Ely Ouse Essex Transfer reversal with Essex desal and Abberton (shared with ESW)</t>
  </si>
  <si>
    <t>Technically complex, costly, environmentally challenging, stakeholder concerns</t>
  </si>
  <si>
    <t>CW2430</t>
  </si>
  <si>
    <t>Ely Ouse Essex Transfer reversal from Abberton</t>
  </si>
  <si>
    <t>CW2431A</t>
  </si>
  <si>
    <t>Ely Ouse Essex Transfer with new res (shared with AWS) FELTWELL 31A</t>
  </si>
  <si>
    <t>CW2431B</t>
  </si>
  <si>
    <t>Ely Ouse Essex Transfer with new res (shared with AWS) OTHER LOCATION (DENVER) 31B</t>
  </si>
  <si>
    <t>Superseded by CW2473</t>
  </si>
  <si>
    <t>CW2431C</t>
  </si>
  <si>
    <t>Ely Ouse Essex Transfer with new res (shared with AWS) - Suboption with Smaller DO 31C</t>
  </si>
  <si>
    <t>Variation on CW2431A</t>
  </si>
  <si>
    <t>CW2432</t>
  </si>
  <si>
    <t>AWS Ely RZ Resource Trade</t>
  </si>
  <si>
    <t>CW2433A</t>
  </si>
  <si>
    <t>Abstraction from Ely Ouse, no reservoir</t>
  </si>
  <si>
    <t>Rejected due to seasonal limitations and other locations are more preferable</t>
  </si>
  <si>
    <t>CW2433B</t>
  </si>
  <si>
    <t>CW2434A</t>
  </si>
  <si>
    <t>Abstraction from Ely Ouse, with reservoir 34A</t>
  </si>
  <si>
    <t>CW2434B</t>
  </si>
  <si>
    <t>Abstraction from Ely Ouse, with reservoir 34B</t>
  </si>
  <si>
    <t>CW2434C</t>
  </si>
  <si>
    <t>Abstraction from Ely Ouse, with reservoir 34C</t>
  </si>
  <si>
    <t>CW2434D</t>
  </si>
  <si>
    <t>Abstraction from Ely Ouse, with reservoir 34D</t>
  </si>
  <si>
    <t>CW2435</t>
  </si>
  <si>
    <t>Deep confined groundwater</t>
  </si>
  <si>
    <t>Rejected following EA review. Very unlikely to find any suitable location in the CAM area - any abstraction from Chalk would impact on river somewhere.</t>
  </si>
  <si>
    <t>CW2436A</t>
  </si>
  <si>
    <t>Effluent reuse working with AWS (Milton) 36A</t>
  </si>
  <si>
    <t>Water reuse</t>
  </si>
  <si>
    <t>Screened out as duplicate of row 115</t>
  </si>
  <si>
    <t>CW2436B</t>
  </si>
  <si>
    <t>Effluent reuse working with AWS (Milton) 36B</t>
  </si>
  <si>
    <t>51aF</t>
  </si>
  <si>
    <t>CW2437Ai</t>
  </si>
  <si>
    <t>Northstowe greywater reuse or similar growth large storage</t>
  </si>
  <si>
    <t>Feasible</t>
  </si>
  <si>
    <t>186 ha (temporary &amp; permanent)</t>
  </si>
  <si>
    <t>£0.08184M (temporary &amp; permanent)</t>
  </si>
  <si>
    <t>£0.00296M (temporary &amp; permanent)</t>
  </si>
  <si>
    <t>£3.41008M (temporary &amp; permanent)</t>
  </si>
  <si>
    <t>CW2437Aii</t>
  </si>
  <si>
    <t>Northstowe greywater reuse or similar growth small storage</t>
  </si>
  <si>
    <t>CW2437B</t>
  </si>
  <si>
    <t>Site-scale greywater reuse (Denny St Francis) Waterbeach 37B</t>
  </si>
  <si>
    <t>Site scale technology would be assumed to be incorporated within a new development, rather than retro-fitted to existing. The development will still need to be supplied with 'new' water; greywater re-use will, in effect, reduce demand from the development rather than increasing supply. Little evidence is known of successful UK technology application, making this an R&amp;D venture rather than a robust WRMP solution.</t>
  </si>
  <si>
    <t>0.5-0.6 (at full build out 10k properties)</t>
  </si>
  <si>
    <t>CW2437C</t>
  </si>
  <si>
    <t>Site-scale greywater reuse (North east Cambridge) 37C</t>
  </si>
  <si>
    <t>Site scale technology would be assumed to be incorporated within a new development, rather than retro-fitted to existing. The development will still need to be supplied with 'new' water; greywater re-use will, in effect, reduce demand from the development rather than increasing supply. Little evidence is known of successful UK technology application, making this an R&amp;D venture rather than a robust WRMP solution. Water reused from such a development would become unavailable for more substantial downstream sources.</t>
  </si>
  <si>
    <t>CW2438A</t>
  </si>
  <si>
    <t>Northstowe rainwater harvest or similar growth large storage</t>
  </si>
  <si>
    <t>CW2438B</t>
  </si>
  <si>
    <t>Northstowe rainwater harvest or similar growth small storage</t>
  </si>
  <si>
    <t>51dU</t>
  </si>
  <si>
    <t>CW2439A</t>
  </si>
  <si>
    <t>Site-scale rainwater harvesting (Denny St Francis)</t>
  </si>
  <si>
    <t>Rainwater harvesting</t>
  </si>
  <si>
    <t>Customer Options</t>
  </si>
  <si>
    <t>Scheme is insufficient to resolve deficit on anything but a short term basis, and would become redundant on implementation of a large scale (WRE) resource, because the water saved would become captured by that scheme in any case. While individual technology assets are proven, the overall asset system for rainwater harvesting at scale is not. Hence there can be no positive assurance that the scheme will work, and significant grounds to consider that it may not. This leaves insufficient confidence to rely on the scheme to robustly address water resource deficit, as required by the WRMP process.</t>
  </si>
  <si>
    <t>0.9 (at full build out 10k properties. Est. capture)</t>
  </si>
  <si>
    <t>CW2439B</t>
  </si>
  <si>
    <t>Site-scale rainwater harvesting (North East Cambridge)</t>
  </si>
  <si>
    <t>CW2440A</t>
  </si>
  <si>
    <t>Brownshill abstraction (with/without Grafham) and reservoir 40A</t>
  </si>
  <si>
    <t>Use of licence now would be subject to WFD ND and better alternative options for use of Grafham</t>
  </si>
  <si>
    <t>CW2440B</t>
  </si>
  <si>
    <t>Brownshill abstraction (with/without Grafham) and reservoir 40B</t>
  </si>
  <si>
    <t>CW2440C</t>
  </si>
  <si>
    <t>Brownshill abstraction (with/without Grafham) and reservoir 40C</t>
  </si>
  <si>
    <t>CW2440D</t>
  </si>
  <si>
    <t>Brownshill abstraction (with/without Grafham) and reservoir 40D</t>
  </si>
  <si>
    <t>CW2441</t>
  </si>
  <si>
    <t>Grafham via Fenstanton</t>
  </si>
  <si>
    <t>Better alternative options at Fenstantion available</t>
  </si>
  <si>
    <t>CW2442A</t>
  </si>
  <si>
    <t>New raised reservoir on Great Ouse Small Res with WTW</t>
  </si>
  <si>
    <t>CW4242B</t>
  </si>
  <si>
    <t>New raised reservoir on Great Ouse Large Res with WTW</t>
  </si>
  <si>
    <t>CW2443A</t>
  </si>
  <si>
    <t>Transfer from west (AWS) to Caxton Gibbet 43A</t>
  </si>
  <si>
    <t>Superseded by CW2475</t>
  </si>
  <si>
    <t>CW2443B</t>
  </si>
  <si>
    <t>Transfer from west (AWS) to Caxton Gibbet 43B</t>
  </si>
  <si>
    <t>Less suitable location than other sub-options</t>
  </si>
  <si>
    <t>CW2443C</t>
  </si>
  <si>
    <t>Transfer from west (AWS) to Caxton Gibbet 43C</t>
  </si>
  <si>
    <t>Repeat of CW2443A</t>
  </si>
  <si>
    <t>CW2444A</t>
  </si>
  <si>
    <t>Third party gravel option (East / South east) 44A</t>
  </si>
  <si>
    <t>Rejected mainly as third party owned and small yield</t>
  </si>
  <si>
    <t>CW2444B</t>
  </si>
  <si>
    <t>Third party gravel option (East / South east) 44B</t>
  </si>
  <si>
    <t>CW2445</t>
  </si>
  <si>
    <t>Denver desalination with storage reservoir</t>
  </si>
  <si>
    <t>Long-term strategic option. Has been considered by WRE. Screened out  on technical and cost grounds - more preferable options to explore first.</t>
  </si>
  <si>
    <t>CW2446</t>
  </si>
  <si>
    <t>Denver desalination (direct connection)</t>
  </si>
  <si>
    <t>CW2447</t>
  </si>
  <si>
    <t>New groundwater source</t>
  </si>
  <si>
    <t>CAMs shows no water available.</t>
  </si>
  <si>
    <t>CW2448</t>
  </si>
  <si>
    <t>Fenstanton/St Ives river intake</t>
  </si>
  <si>
    <t xml:space="preserve">Existing abstraction options preferential. Other options at Fenstantion/St.Ives </t>
  </si>
  <si>
    <t>CW2449</t>
  </si>
  <si>
    <t>Offord intake</t>
  </si>
  <si>
    <t>WRE option but others are more preferential</t>
  </si>
  <si>
    <t>CW2450</t>
  </si>
  <si>
    <t>Raw water reservoir in 'A428 corridor'</t>
  </si>
  <si>
    <t>Raw water would need to come from AWS as no source here. Not as preferable as potable water transfer from AWS</t>
  </si>
  <si>
    <t>CW2451</t>
  </si>
  <si>
    <t>Treated water reservoir in 'A428 corridor'</t>
  </si>
  <si>
    <t>reservoir alone would need to be sized too large without an import. Import options precede this. Storage would be separate PR24 justification</t>
  </si>
  <si>
    <t>CW2452</t>
  </si>
  <si>
    <t>Lodes Granta boreholes</t>
  </si>
  <si>
    <t xml:space="preserve">EA confirmed need to rule this option out. EA support schemes are highly unlikely to acceptable for use to support increased abstraction. </t>
  </si>
  <si>
    <t>CW2453</t>
  </si>
  <si>
    <t>New option - Grafham raising</t>
  </si>
  <si>
    <t>Reservoir enlargement</t>
  </si>
  <si>
    <t>AWS option. If required, would be incorporated in transfer from AWS.</t>
  </si>
  <si>
    <t>CW2454</t>
  </si>
  <si>
    <t>New option - string of high flow winter reservoirs</t>
  </si>
  <si>
    <t>CW2455</t>
  </si>
  <si>
    <t>WRZ reconfiguration to incorporate Newmarket, swap north to AWS</t>
  </si>
  <si>
    <t>Regulatory complications. Does not provide new resource.</t>
  </si>
  <si>
    <t>CW2456</t>
  </si>
  <si>
    <t>ASR using Ouse gravels</t>
  </si>
  <si>
    <t>Technically unfeasible. Gravels will leak! Also might be better to use a source elsewhere to recharge gravels (or storage reservoir)</t>
  </si>
  <si>
    <t>CW2457</t>
  </si>
  <si>
    <t>River Cam abstraction and treatment works</t>
  </si>
  <si>
    <t>67.76 ha (temporary &amp; permanent)</t>
  </si>
  <si>
    <t>£0.08224M (temporary &amp; permanent)</t>
  </si>
  <si>
    <t>£0.01176M (temporary &amp; permanent)</t>
  </si>
  <si>
    <t>£19.6992M (temporary &amp; permanent)</t>
  </si>
  <si>
    <t>£1.72168M (temporary &amp; permanent)</t>
  </si>
  <si>
    <t>CW2458</t>
  </si>
  <si>
    <t>AWS import from Swaffham/Newmarket</t>
  </si>
  <si>
    <t>CW2459</t>
  </si>
  <si>
    <t>New Chalk groundwater abstraction - exploration 59</t>
  </si>
  <si>
    <t>CW2460</t>
  </si>
  <si>
    <t>New greensand groundwater abstraction - exploration 60</t>
  </si>
  <si>
    <t>EA will not permit any new chalk or greensand abstraction</t>
  </si>
  <si>
    <t>CW2461</t>
  </si>
  <si>
    <t>Sea tankering UK (Scotland)</t>
  </si>
  <si>
    <t>International import</t>
  </si>
  <si>
    <t xml:space="preserve">Rejected but also being considered at regional scale </t>
  </si>
  <si>
    <t>CW2462</t>
  </si>
  <si>
    <t>Sea tankering EU (Norway)</t>
  </si>
  <si>
    <t>CW2463</t>
  </si>
  <si>
    <t>Iceberg tow</t>
  </si>
  <si>
    <t>CW2464</t>
  </si>
  <si>
    <t>Revoke bulk transfers to AWS</t>
  </si>
  <si>
    <t>Too small to be practical</t>
  </si>
  <si>
    <t>CW2465</t>
  </si>
  <si>
    <t>Revoke bulk transfers to Affinity</t>
  </si>
  <si>
    <t>no water availability - EA comments</t>
  </si>
  <si>
    <t>AFWBR8</t>
  </si>
  <si>
    <t>CW2466</t>
  </si>
  <si>
    <t>Revoke bulk transfer to Snailwell</t>
  </si>
  <si>
    <t>CW2467</t>
  </si>
  <si>
    <t>Agricultural sector raw water trade(s)</t>
  </si>
  <si>
    <t>Licence trading opportunities explored in data request to EA. All those identified that related to the agricultural sector  were ruled out (see details in comment).</t>
  </si>
  <si>
    <t>CW2468</t>
  </si>
  <si>
    <t>Agricultural sector trade including treatment</t>
  </si>
  <si>
    <t>CW2469</t>
  </si>
  <si>
    <t>Effluent re-use direct into supply - Milton WWTW</t>
  </si>
  <si>
    <t>&gt;6</t>
  </si>
  <si>
    <t>CW2470</t>
  </si>
  <si>
    <t>Effluent re-use development level dual pipe system Milton WWTW</t>
  </si>
  <si>
    <t>Twin pipe network would need to be constructed as part of development, and would add a significant component of cost. Approach would act as a demand reduction measure for the development, rather than as a new source. Demand reduction achieved would depend on individual customer uptake, hence highly uncertain. Little or no experience of proven application of this technology at system level (although individual process components are known and proven). CW24-71 (Milton WWTW Effluent re-use surface water abstraction post effluent discharge) would appear to be a preferable approach to effluent reuse due to greater likelihood of success.</t>
  </si>
  <si>
    <t>CW2471</t>
  </si>
  <si>
    <t>AWS Milton WWTW effluent discharge reuse</t>
  </si>
  <si>
    <t>26.59 ha (temporary &amp; permanent)</t>
  </si>
  <si>
    <t>£0.02144M (temporary &amp; permanent)</t>
  </si>
  <si>
    <t>£0.00216M (temporary &amp; permanent)</t>
  </si>
  <si>
    <t>£19.07392M (temporary &amp; permanent)</t>
  </si>
  <si>
    <t>£0.64792M (temporary &amp; permanent)</t>
  </si>
  <si>
    <t>CW2472</t>
  </si>
  <si>
    <t>Effluent re-use - other smaller sites</t>
  </si>
  <si>
    <t xml:space="preserve">Motts did some works on AWS WTW and all screened out </t>
  </si>
  <si>
    <t>51cP</t>
  </si>
  <si>
    <t>CW2473A</t>
  </si>
  <si>
    <t>Fens Reservoir internal potable water transfer Chatteris</t>
  </si>
  <si>
    <t>External potable bulk supply/transfer</t>
  </si>
  <si>
    <t>Distribution Options</t>
  </si>
  <si>
    <t>115.8 ha (temporary &amp; permanent)</t>
  </si>
  <si>
    <t>£0.0912M (temporary &amp; permanent)</t>
  </si>
  <si>
    <t>£0.02056M (temporary &amp; permanent)</t>
  </si>
  <si>
    <t>£20.84864M (temporary &amp; permanent)</t>
  </si>
  <si>
    <t>£2.77128M (temporary &amp; permanent)</t>
  </si>
  <si>
    <t>51cF</t>
  </si>
  <si>
    <t>CW2473B</t>
  </si>
  <si>
    <t>Fens Reservoir internal potable water transfer Ely</t>
  </si>
  <si>
    <t>Screened out as part of the RAPID process due to being less favourable than the Chatteris option.</t>
  </si>
  <si>
    <t>CW2473C</t>
  </si>
  <si>
    <t>Fens Reservoir internal potable water transfer Southery</t>
  </si>
  <si>
    <t>CW2473D</t>
  </si>
  <si>
    <t>Fens Reservoir internal potable water transfer Burnt Fens</t>
  </si>
  <si>
    <t>CW2474</t>
  </si>
  <si>
    <t>FENS reservoir raw water transfer and WTW</t>
  </si>
  <si>
    <t>A similar but more favourable alternative option (CW24-73 - potable transfer) exists, that provides greater flexibility and reduced INNS risk for no apparent additional cost.</t>
  </si>
  <si>
    <t>CW2475Ai</t>
  </si>
  <si>
    <t>AWS potable transfer through CAM area 5Mld</t>
  </si>
  <si>
    <t>0.8 ha (temporary &amp; permanent)</t>
  </si>
  <si>
    <t>£0.000482M (temporary &amp; permanent)</t>
  </si>
  <si>
    <t>£0.02136M (temporary &amp; permanent)</t>
  </si>
  <si>
    <t>CW2475Aii</t>
  </si>
  <si>
    <t>AWS potable transfer through CAM area 5Mld with main cost</t>
  </si>
  <si>
    <t>CW2475Bi</t>
  </si>
  <si>
    <t>AWS potable transfer through CAM area 10Mld</t>
  </si>
  <si>
    <t>CW2475Bii</t>
  </si>
  <si>
    <t>AWS potable transfer through CAM area 10Mld with main cost</t>
  </si>
  <si>
    <t>CW2475Ci</t>
  </si>
  <si>
    <t>AWS potable transfer through CAM area 15Mld</t>
  </si>
  <si>
    <t>£0.02208M (temporary &amp; permanent)</t>
  </si>
  <si>
    <t>CW2475Cii</t>
  </si>
  <si>
    <t>AWS potable transfer through CAM area 15Mld with main cost</t>
  </si>
  <si>
    <t>51dP</t>
  </si>
  <si>
    <t>2021-116</t>
  </si>
  <si>
    <t>Fitting of Enhanced Meter Technology over AMP8 and AMP9 to all NHH</t>
  </si>
  <si>
    <t>Metering compulsory</t>
  </si>
  <si>
    <t>SN_02</t>
  </si>
  <si>
    <t>Fitting of universal smart meter technology throughout AMP8 and AMP9</t>
  </si>
  <si>
    <t>2021-001</t>
  </si>
  <si>
    <t>Proactive trunk mains leakage reduction</t>
  </si>
  <si>
    <t>Active leakage management</t>
  </si>
  <si>
    <t>2021-003</t>
  </si>
  <si>
    <t>Advanced pressure optimisation</t>
  </si>
  <si>
    <t>2021-045</t>
  </si>
  <si>
    <t>Customer supply pipe reapir or replacement (without smart networks)</t>
  </si>
  <si>
    <t>Supply pipe repairs / replacement</t>
  </si>
  <si>
    <t>2021-099</t>
  </si>
  <si>
    <t>Distribution Mains/Comms pipe replacement</t>
  </si>
  <si>
    <t>Mains replacement (not trunk mains)</t>
  </si>
  <si>
    <t>2021-106</t>
  </si>
  <si>
    <t>Customer supply pipe repair or replacement (with smart networks)</t>
  </si>
  <si>
    <t>Other leakage control</t>
  </si>
  <si>
    <t>SN02</t>
  </si>
  <si>
    <t>2021-107</t>
  </si>
  <si>
    <t>DMA MOT (with smart networks)</t>
  </si>
  <si>
    <t>2021-118</t>
  </si>
  <si>
    <t>DMA MOT (without smart networks)</t>
  </si>
  <si>
    <t>WL_02</t>
  </si>
  <si>
    <t>Water labelling no minimum standards</t>
  </si>
  <si>
    <t>Other water efficiency</t>
  </si>
  <si>
    <t>2021-012</t>
  </si>
  <si>
    <t>Household water efficiency programme (partnering approach, home visit)</t>
  </si>
  <si>
    <t>Household water audit</t>
  </si>
  <si>
    <t>2021-036</t>
  </si>
  <si>
    <t>Housing associations - targeted programme</t>
  </si>
  <si>
    <t>2021-048</t>
  </si>
  <si>
    <t>Innovative tariffs</t>
  </si>
  <si>
    <t>Tariff</t>
  </si>
  <si>
    <t>2021-094</t>
  </si>
  <si>
    <t>Water neutrality (without smart metering)</t>
  </si>
  <si>
    <t>2021-095</t>
  </si>
  <si>
    <t>Community Water Efficiency Scheme (without smart metering)</t>
  </si>
  <si>
    <t>Increase raw water abstractions</t>
  </si>
  <si>
    <t>Potable water Imports (input reductions as -ve)</t>
  </si>
  <si>
    <t>Reduce raw water losses and operational use 
(input as -ve)</t>
  </si>
  <si>
    <t>Reduced raw water export (including non potable supplies)</t>
  </si>
  <si>
    <t>Reduce potable water exports (input as -ve)</t>
  </si>
  <si>
    <t>Reduce treatment works losses (input as -ve)</t>
  </si>
  <si>
    <t>Reduce outages (input as -ve)</t>
  </si>
  <si>
    <t>Table 5: WRZ Level - Options Benefits</t>
  </si>
  <si>
    <r>
      <t xml:space="preserve">Gains in Water Available For Use / Savings in Demand under the selected programme  (Ml/d) </t>
    </r>
    <r>
      <rPr>
        <b/>
        <sz val="11"/>
        <color rgb="FFFF0000"/>
        <rFont val="Arial"/>
        <family val="2"/>
      </rPr>
      <t>input as +ve</t>
    </r>
  </si>
  <si>
    <t>Option name</t>
  </si>
  <si>
    <r>
      <t xml:space="preserve">Option Type </t>
    </r>
    <r>
      <rPr>
        <b/>
        <sz val="11"/>
        <color rgb="FFFF0000"/>
        <rFont val="Arial"/>
        <family val="2"/>
      </rPr>
      <t>(defined list)</t>
    </r>
  </si>
  <si>
    <r>
      <t xml:space="preserve">Sub-option </t>
    </r>
    <r>
      <rPr>
        <b/>
        <sz val="11"/>
        <color rgb="FFFF0000"/>
        <rFont val="Arial"/>
        <family val="2"/>
      </rPr>
      <t>(Y/N)</t>
    </r>
  </si>
  <si>
    <t>Preferred (most likely), Least Cost, Ofwat Core or Alternative Programme</t>
  </si>
  <si>
    <r>
      <t xml:space="preserve">WRZ </t>
    </r>
    <r>
      <rPr>
        <b/>
        <sz val="11"/>
        <color rgb="FFFF0000"/>
        <rFont val="Arial"/>
        <family val="2"/>
      </rPr>
      <t>(defined list)</t>
    </r>
  </si>
  <si>
    <t>52cP</t>
  </si>
  <si>
    <t>Cost Profile WRMP24 Table</t>
  </si>
  <si>
    <t xml:space="preserve">Table 5a: WC Level - Option Level Cost Profile Table </t>
  </si>
  <si>
    <t>Table Instruction</t>
  </si>
  <si>
    <t>Cost Metric 
(£m)</t>
  </si>
  <si>
    <t>Cost Sub-metric (£m)</t>
  </si>
  <si>
    <r>
      <t xml:space="preserve">Asset Life:
</t>
    </r>
    <r>
      <rPr>
        <sz val="11"/>
        <color rgb="FF000000"/>
        <rFont val="Arial"/>
        <family val="2"/>
      </rPr>
      <t xml:space="preserve">Estimated average number of years an asset is considered useable before its value is fully depreciated. 
</t>
    </r>
  </si>
  <si>
    <t>Total/Fixed/Variable</t>
  </si>
  <si>
    <t>2101-02</t>
  </si>
  <si>
    <t>2102-03</t>
  </si>
  <si>
    <t>2103-04</t>
  </si>
  <si>
    <t>2104-05</t>
  </si>
  <si>
    <t>Complete for all options (Feasible and preferred)</t>
  </si>
  <si>
    <t>CW24-01A</t>
  </si>
  <si>
    <t>Combined Ouse gravel sources - Fenstanton to St Ives (01A)</t>
  </si>
  <si>
    <t xml:space="preserve">Capex </t>
  </si>
  <si>
    <t>Opex</t>
  </si>
  <si>
    <t xml:space="preserve">Total </t>
  </si>
  <si>
    <t>Financing Cost</t>
  </si>
  <si>
    <t xml:space="preserve">Discount Rate </t>
  </si>
  <si>
    <t>Discount Factor</t>
  </si>
  <si>
    <t>Capex</t>
  </si>
  <si>
    <r>
      <t>Costed Risk</t>
    </r>
    <r>
      <rPr>
        <sz val="11"/>
        <color rgb="FFFF0000"/>
        <rFont val="Arial"/>
        <family val="2"/>
      </rPr>
      <t xml:space="preserve"> </t>
    </r>
  </si>
  <si>
    <t>Fixed</t>
  </si>
  <si>
    <t>Optimism Bias</t>
  </si>
  <si>
    <t>Net Present Cost (NPC)</t>
  </si>
  <si>
    <t>Total NPC</t>
  </si>
  <si>
    <t>CW24-01B</t>
  </si>
  <si>
    <t>Combined Ouse gravel sources - Fenstanton to St Ives (01B) - with WTW upgrade</t>
  </si>
  <si>
    <t>Costed Risk</t>
  </si>
  <si>
    <t>CW24-37Ai</t>
  </si>
  <si>
    <t>Site-scale greywater re-use (Northstowe or similar growth) - with larger storage</t>
  </si>
  <si>
    <t>CW24-37Aii</t>
  </si>
  <si>
    <t>Site-scale greywater re-use (Northstowe or similar growth) - with smaller storage (4.83 Ml)</t>
  </si>
  <si>
    <t>CW24-38A</t>
  </si>
  <si>
    <t>Site-scale rainwater harvesting (Northstowe or similar growth) - with larger storage</t>
  </si>
  <si>
    <t>CW24-38B</t>
  </si>
  <si>
    <t>Site-scale rainwater harvesting (Northstowe or similar growth) - with smaller storage</t>
  </si>
  <si>
    <t>CW24-57</t>
  </si>
  <si>
    <t>CW24-71</t>
  </si>
  <si>
    <t>AWS Milton WWTW effluent discharge re-use</t>
  </si>
  <si>
    <t>CW24-73A</t>
  </si>
  <si>
    <t>Fens Reservoir internal potable water transfer (Chatteris)</t>
  </si>
  <si>
    <t>CW24-73B</t>
  </si>
  <si>
    <t>Fens Reservoir internal potable water transfer (Ely)</t>
  </si>
  <si>
    <t>CW24-73C</t>
  </si>
  <si>
    <t>Fens Reservoir internal potable water transfer (Southery).</t>
  </si>
  <si>
    <t>CW24-73D</t>
  </si>
  <si>
    <t>Fens reservoir internal potable water transfer (Burnt Fens).</t>
  </si>
  <si>
    <t xml:space="preserve">Table 5b: WC Level - Option Level Unit Cost Profile Table </t>
  </si>
  <si>
    <t xml:space="preserve">Complete for all options  &gt;£100m (Feasible and preferred) </t>
  </si>
  <si>
    <t>Cost</t>
  </si>
  <si>
    <t>Variable</t>
  </si>
  <si>
    <t>Assets with life greater than the planning period (e.g. pipeline, dams and reservoirs etc.)</t>
  </si>
  <si>
    <t>Assets with a 40 year asset life (e.g. buildings and civils)</t>
  </si>
  <si>
    <t>Assets with a 25 year asset life (e.g. M&amp;E)</t>
  </si>
  <si>
    <t>Table 5c: Financing Cost - Worked Example</t>
  </si>
  <si>
    <t>Inputs</t>
  </si>
  <si>
    <t>[A]</t>
  </si>
  <si>
    <t>Discount Rate</t>
  </si>
  <si>
    <t>[B]</t>
  </si>
  <si>
    <t>WACC</t>
  </si>
  <si>
    <t>[C]</t>
  </si>
  <si>
    <t>Asset Life</t>
  </si>
  <si>
    <t>[D]</t>
  </si>
  <si>
    <t>Year 1 capex</t>
  </si>
  <si>
    <t>[E]</t>
  </si>
  <si>
    <t>Depreciation Factor</t>
  </si>
  <si>
    <t>Year 1</t>
  </si>
  <si>
    <t>Year 2</t>
  </si>
  <si>
    <t>Year 3</t>
  </si>
  <si>
    <t>Year 4</t>
  </si>
  <si>
    <t>Year 5</t>
  </si>
  <si>
    <t>Calculation</t>
  </si>
  <si>
    <t>[F]</t>
  </si>
  <si>
    <t>1 / [(1 + [A]) ^ t ]</t>
  </si>
  <si>
    <t>Worked Example</t>
  </si>
  <si>
    <t>[G]</t>
  </si>
  <si>
    <t>RCV at start of year</t>
  </si>
  <si>
    <t>£000s</t>
  </si>
  <si>
    <r>
      <t>=[I]</t>
    </r>
    <r>
      <rPr>
        <sz val="8"/>
        <color theme="1"/>
        <rFont val="Arial"/>
        <family val="2"/>
      </rPr>
      <t>t-1</t>
    </r>
    <r>
      <rPr>
        <sz val="10"/>
        <color theme="1"/>
        <rFont val="Arial"/>
        <family val="2"/>
      </rPr>
      <t xml:space="preserve"> for t &gt; 1</t>
    </r>
  </si>
  <si>
    <t>[H]</t>
  </si>
  <si>
    <t>Depreciation</t>
  </si>
  <si>
    <t>[G] x [E]</t>
  </si>
  <si>
    <t>[I]</t>
  </si>
  <si>
    <t>RCV at end of year</t>
  </si>
  <si>
    <t>[G]-[H]</t>
  </si>
  <si>
    <t>[J]</t>
  </si>
  <si>
    <t>Mid-year RCV</t>
  </si>
  <si>
    <t>AVERAGE [G],[I]</t>
  </si>
  <si>
    <t>[K]</t>
  </si>
  <si>
    <t>( [J] x [B]) + [H]</t>
  </si>
  <si>
    <t>[L]</t>
  </si>
  <si>
    <t>Discounted Financing Cost</t>
  </si>
  <si>
    <t>[K] x [F]</t>
  </si>
  <si>
    <t>[M]</t>
  </si>
  <si>
    <t>NPV Financing Cost</t>
  </si>
  <si>
    <t>∑ [L]</t>
  </si>
  <si>
    <t xml:space="preserve">To calculate financing costs as a stream of annual costs over the life of the option, follow an approach based on the Regulated Capital Value and Net Book Value (NBV) of capital assets. In this approach, the full NBV of an asset is added to the RCV at the start of the first year of the period, and is reduced incrementally by a constant amount in each subsequent year to zero as its value depreciates, giving an annual "net capital value". If the asset is renewed at the end of its useful life, the full NBV is incurred again and the depreciation cycle renews. Annual financing costs are calculated by applying the WACC to the annual net capital value amount (the RCV adjusted for depreciation), and adding back depreciation. These annual financing costs are then discounted using the standard declining long-term discount rate (STPR) reported in the HM Treasury Green Book. 
The worked example shows the calculation for an asset with an NBV of £1,000 and an asset life of five years, depreciating at a constant rate of £200,000 per year. In Year 1, the average net capital value is £900,000 after adjusting for depreciation. The financing cost is calculated by applying the WACC (2.92% in this example) to the £900,000 and then adding back depreciation, resulting in a total of £226,000. That financing cost is then discounted using the discount rate (in this case, 3.5% for all five years - the rate will change for longer time horizons as per Green Book guidance), and the sum of the stream of discounted costs results in a total NPV of financing costs of £971,000. Note that the NPV will be lower when the discount rate is greater than the WACC. 
</t>
  </si>
  <si>
    <t>Table 6: WRZ Level - Drought Plan Links</t>
  </si>
  <si>
    <t>Deployable Output Benefit (Ml/d) under 
Drought Severity of ~ 1 in 500 (0.2% chance in any given year)</t>
  </si>
  <si>
    <t>Deployable Output Benefit (Ml/d) under 
 Drought Severity of 1 in 200 (0.5% chance in any given year)</t>
  </si>
  <si>
    <r>
      <t xml:space="preserve">Deployable Output Benefit (Ml/d) under 1995/1998 5% RETURN
Worst Historic Drought Scenario </t>
    </r>
    <r>
      <rPr>
        <b/>
        <sz val="11"/>
        <color rgb="FFFF0000"/>
        <rFont val="Arial"/>
        <family val="2"/>
      </rPr>
      <t>(define year and return period)</t>
    </r>
  </si>
  <si>
    <r>
      <t xml:space="preserve">Deployable Output Benefit (Ml/d) under 
Additional drought scenario - </t>
    </r>
    <r>
      <rPr>
        <b/>
        <sz val="11"/>
        <color rgb="FFFF0000"/>
        <rFont val="Arial"/>
        <family val="2"/>
      </rPr>
      <t>optional  [please define]</t>
    </r>
  </si>
  <si>
    <t>Row Ref</t>
  </si>
  <si>
    <t>Drought Measure</t>
  </si>
  <si>
    <t>Description</t>
  </si>
  <si>
    <t>Type</t>
  </si>
  <si>
    <t>Drought Plan Reference(s)</t>
  </si>
  <si>
    <r>
      <t xml:space="preserve">Included in FP scenario? 
</t>
    </r>
    <r>
      <rPr>
        <b/>
        <sz val="11"/>
        <color rgb="FFFF0000"/>
        <rFont val="Arial"/>
        <family val="2"/>
      </rPr>
      <t>Y or N</t>
    </r>
  </si>
  <si>
    <t>Base year</t>
  </si>
  <si>
    <t>Base Year</t>
  </si>
  <si>
    <t>Baseline</t>
  </si>
  <si>
    <t>1FPD</t>
  </si>
  <si>
    <t>Appeals for restraint</t>
  </si>
  <si>
    <t>Demand Side</t>
  </si>
  <si>
    <t>page x, para y</t>
  </si>
  <si>
    <t>2FPD</t>
  </si>
  <si>
    <t>Licensed drought only sources</t>
  </si>
  <si>
    <t>List the names of all drought sources / sites</t>
  </si>
  <si>
    <t>Supply Side</t>
  </si>
  <si>
    <t>3FPD</t>
  </si>
  <si>
    <t>Other level 1 drought measures</t>
  </si>
  <si>
    <t>Please detail other level 1 drought measures</t>
  </si>
  <si>
    <t>4FPD</t>
  </si>
  <si>
    <t>Temporary Use Bans</t>
  </si>
  <si>
    <t>5FPD</t>
  </si>
  <si>
    <t>Level 2 Drought Permits/Orders</t>
  </si>
  <si>
    <t>List the names of all drought sources / sites brought online when the level 2 control curve is crossed</t>
  </si>
  <si>
    <t>6FPD</t>
  </si>
  <si>
    <t>Other level 2 drought measures</t>
  </si>
  <si>
    <t>Please detail other level 2 drought measures</t>
  </si>
  <si>
    <t>7FPD</t>
  </si>
  <si>
    <t>Non Essential Use Bans</t>
  </si>
  <si>
    <t>8FPD</t>
  </si>
  <si>
    <t>Level 3 Drought Permits/Orders</t>
  </si>
  <si>
    <t>List the names of all drought sources / sites brought online when the level 3 control curve is crossed</t>
  </si>
  <si>
    <t>9FPD</t>
  </si>
  <si>
    <t>Other level 3 drought measures</t>
  </si>
  <si>
    <t>Please detail other level 3 drought measures</t>
  </si>
  <si>
    <t>10FPD</t>
  </si>
  <si>
    <t>TOTAL BENEFIT</t>
  </si>
  <si>
    <t>Combined benefit from above drought measures for the drought scenario</t>
  </si>
  <si>
    <t>11.1FPD</t>
  </si>
  <si>
    <t>Distribution Input Adjustment</t>
  </si>
  <si>
    <t>Drought Demand Enhancement - for specific drought event  (where applicable)</t>
  </si>
  <si>
    <t>11FPD</t>
  </si>
  <si>
    <t>Distribution Input</t>
  </si>
  <si>
    <t xml:space="preserve">45FP + 11.1FPD </t>
  </si>
  <si>
    <t>12FPD</t>
  </si>
  <si>
    <t>10FP - 7.5FP + 10FPD</t>
  </si>
  <si>
    <t>13.1FPD</t>
  </si>
  <si>
    <r>
      <t xml:space="preserve">Import </t>
    </r>
    <r>
      <rPr>
        <sz val="11"/>
        <color rgb="FFFF0000"/>
        <rFont val="Arial"/>
        <family val="2"/>
      </rPr>
      <t>(+ve)</t>
    </r>
    <r>
      <rPr>
        <sz val="11"/>
        <rFont val="Arial"/>
        <family val="2"/>
      </rPr>
      <t xml:space="preserve"> and Export</t>
    </r>
    <r>
      <rPr>
        <sz val="11"/>
        <color rgb="FFFF0000"/>
        <rFont val="Arial"/>
        <family val="2"/>
      </rPr>
      <t xml:space="preserve"> (-ve) </t>
    </r>
    <r>
      <rPr>
        <sz val="11"/>
        <rFont val="Arial"/>
        <family val="2"/>
      </rPr>
      <t xml:space="preserve">Drought Adjustment </t>
    </r>
  </si>
  <si>
    <t>Drought Import/Export Adjustment for specific drought event  (where applicable)</t>
  </si>
  <si>
    <t>13FPD</t>
  </si>
  <si>
    <t>12FPD + sum(2FP:5FP) + 13.1FPD</t>
  </si>
  <si>
    <t>16FPD</t>
  </si>
  <si>
    <t>16.1FPD</t>
  </si>
  <si>
    <t>Target Headroom Adjustment</t>
  </si>
  <si>
    <t>Target headroom adjustment for specific drought event (where applicable)</t>
  </si>
  <si>
    <t>17FPD</t>
  </si>
  <si>
    <t>13FPD - 11FPD</t>
  </si>
  <si>
    <t>18FPD</t>
  </si>
  <si>
    <t>17FPD - (16FPD + 16.1FPD)</t>
  </si>
  <si>
    <t>Programme:</t>
  </si>
  <si>
    <t>Least Cost</t>
  </si>
  <si>
    <t>WRZ(s) impacted</t>
  </si>
  <si>
    <t>DYAA - 1 in 500</t>
  </si>
  <si>
    <t>Description of key triggers for alternative programme activation</t>
  </si>
  <si>
    <t>Least Cost Plan</t>
  </si>
  <si>
    <t xml:space="preserve">
Monitoring and triggering of alternative programme</t>
  </si>
  <si>
    <t>No change - same as preferred plan</t>
  </si>
  <si>
    <t>Insert figure to represent your adaptive programmes here
 if applicable</t>
  </si>
  <si>
    <t>Option differences to preferred (most likely) programme</t>
  </si>
  <si>
    <t>NPV cost associated with programme (£M)</t>
  </si>
  <si>
    <t xml:space="preserve">Likelihood </t>
  </si>
  <si>
    <t>Earliest expected trigger year</t>
  </si>
  <si>
    <t>5 Year totals</t>
  </si>
  <si>
    <t>BL SDB Component</t>
  </si>
  <si>
    <t>2024/25</t>
  </si>
  <si>
    <t>2025/26</t>
  </si>
  <si>
    <t>2026/27</t>
  </si>
  <si>
    <t>2027/28</t>
  </si>
  <si>
    <t>2028/29</t>
  </si>
  <si>
    <t>2029/30</t>
  </si>
  <si>
    <t>2034/35</t>
  </si>
  <si>
    <t>2039/40</t>
  </si>
  <si>
    <t>2044/45</t>
  </si>
  <si>
    <t>2049/50</t>
  </si>
  <si>
    <t>2054/55</t>
  </si>
  <si>
    <t>2059/60</t>
  </si>
  <si>
    <t>2064/65</t>
  </si>
  <si>
    <t>2069/70</t>
  </si>
  <si>
    <t>2074/75</t>
  </si>
  <si>
    <t>2079/80</t>
  </si>
  <si>
    <t>2084/85</t>
  </si>
  <si>
    <t>2089/90</t>
  </si>
  <si>
    <t>2094/95</t>
  </si>
  <si>
    <t>2099/100</t>
  </si>
  <si>
    <t>AP1BL</t>
  </si>
  <si>
    <t>AP2BL</t>
  </si>
  <si>
    <t xml:space="preserve">AP3BL </t>
  </si>
  <si>
    <t>AP5BL</t>
  </si>
  <si>
    <t>FP SDB Component</t>
  </si>
  <si>
    <t>AP1FP</t>
  </si>
  <si>
    <t>AP2FP</t>
  </si>
  <si>
    <t>AP3FP</t>
  </si>
  <si>
    <t>AP4FP</t>
  </si>
  <si>
    <t>Expenditure element</t>
  </si>
  <si>
    <t>Expenditure type</t>
  </si>
  <si>
    <t>AP6FP</t>
  </si>
  <si>
    <t>Totex increases (base)</t>
  </si>
  <si>
    <t>Totex</t>
  </si>
  <si>
    <t>£M</t>
  </si>
  <si>
    <t>AP7FP</t>
  </si>
  <si>
    <t>Totex savings (base)</t>
  </si>
  <si>
    <t>AP8FP</t>
  </si>
  <si>
    <t>Totex total (base)</t>
  </si>
  <si>
    <t>AP9FP</t>
  </si>
  <si>
    <t>Total enhancement expenditure</t>
  </si>
  <si>
    <t>AP10FP</t>
  </si>
  <si>
    <t>AP11FP</t>
  </si>
  <si>
    <t>Ofwat Core</t>
  </si>
  <si>
    <t>Ofwat Core Plan</t>
  </si>
  <si>
    <t>NPV cost associated with programme (£000)</t>
  </si>
  <si>
    <t xml:space="preserve"> [specify]</t>
  </si>
  <si>
    <t>List IDs</t>
  </si>
  <si>
    <t xml:space="preserve">Detail which component(s) changed in your baseline alternative plan and specifically when would the alternative programme be triggered
</t>
  </si>
  <si>
    <t xml:space="preserve">
Specify what you will monitor, at what frequency, to assess whether the alternative programme is required.</t>
  </si>
  <si>
    <t xml:space="preserve">Additional options selected: State option IDs
Preferred options removed: State Option IDs
This should be aligned to options flagged in your alternative programme in tables 4 and 5. </t>
  </si>
  <si>
    <t>Preferred (most likely) programme</t>
  </si>
  <si>
    <t>NPV cost associated with plan (£M)</t>
  </si>
  <si>
    <t>Table 8a: Summary Base Totex expenditure for programme consistent with RAG  reporting requirements</t>
  </si>
  <si>
    <t>Annual totals</t>
  </si>
  <si>
    <t>Five year totals</t>
  </si>
  <si>
    <t>Reference</t>
  </si>
  <si>
    <t>2030-31 
to 
2034-35</t>
  </si>
  <si>
    <t>2035-36 
to 
2039-40</t>
  </si>
  <si>
    <t>2040-41 
to 
2044-45</t>
  </si>
  <si>
    <t>2045-46 
to 
2049-50</t>
  </si>
  <si>
    <t>2050-51 
to 
2054-55</t>
  </si>
  <si>
    <t>2055-56 
to 
2059-60</t>
  </si>
  <si>
    <t>2060-61 
to 
2064-65</t>
  </si>
  <si>
    <t>2065-66 
to 
2069-70</t>
  </si>
  <si>
    <t>2070-71 
to 
2074-75</t>
  </si>
  <si>
    <t>2075-76 
to 
2079-80</t>
  </si>
  <si>
    <t>A1</t>
  </si>
  <si>
    <t>A2</t>
  </si>
  <si>
    <t>A3</t>
  </si>
  <si>
    <t>Total totex variance (base)</t>
  </si>
  <si>
    <t>Table 8b: Summary of supply-demand balance enhancement expenditure for programme consistent with RAG  reporting requirements</t>
  </si>
  <si>
    <t>B1</t>
  </si>
  <si>
    <t>Supply-side improvements</t>
  </si>
  <si>
    <t>B2</t>
  </si>
  <si>
    <t>B3</t>
  </si>
  <si>
    <t>B4</t>
  </si>
  <si>
    <t>Demand-side improvements (excl. leakage and metering)</t>
  </si>
  <si>
    <t>B5</t>
  </si>
  <si>
    <t>B6</t>
  </si>
  <si>
    <t>B7</t>
  </si>
  <si>
    <t>Leakage improvements</t>
  </si>
  <si>
    <t>B8</t>
  </si>
  <si>
    <t>B9</t>
  </si>
  <si>
    <t>B10</t>
  </si>
  <si>
    <t>Internal interconnectors</t>
  </si>
  <si>
    <t>B11</t>
  </si>
  <si>
    <t>B12</t>
  </si>
  <si>
    <t>B13</t>
  </si>
  <si>
    <t>Strategic regional water resources</t>
  </si>
  <si>
    <t>B14</t>
  </si>
  <si>
    <t>B15</t>
  </si>
  <si>
    <t>B16</t>
  </si>
  <si>
    <t xml:space="preserve">Total supply demand expenditure </t>
  </si>
  <si>
    <t>Table 8c: Summary of metering enhancement expenditure for  programme consistent with RAG  reporting requirements</t>
  </si>
  <si>
    <t>C1</t>
  </si>
  <si>
    <t>New meters requested by existing customers (optants)</t>
  </si>
  <si>
    <t>C1.1</t>
  </si>
  <si>
    <t>New basic meters requested by existing customers (optants)</t>
  </si>
  <si>
    <t>C1.2</t>
  </si>
  <si>
    <t>New AMR meters requested by existing customers (optants)</t>
  </si>
  <si>
    <t>C1.3</t>
  </si>
  <si>
    <t>New AMI meters requested by existing customers (optants)</t>
  </si>
  <si>
    <t>C2</t>
  </si>
  <si>
    <t>C2.1</t>
  </si>
  <si>
    <t>C2.2</t>
  </si>
  <si>
    <t>C2.3</t>
  </si>
  <si>
    <t>C3</t>
  </si>
  <si>
    <t>C4</t>
  </si>
  <si>
    <t>New meters introduced by companies for existing customers</t>
  </si>
  <si>
    <t>C4.1</t>
  </si>
  <si>
    <t>New basic meters introduced by companies for existing customers (optants)</t>
  </si>
  <si>
    <t>C4.2</t>
  </si>
  <si>
    <t>New AMR meters  introduced by companies for existing customers (optants)</t>
  </si>
  <si>
    <t>C4.3</t>
  </si>
  <si>
    <t>New AMI meters introduced by companies for existing customers (optants)</t>
  </si>
  <si>
    <t>C5</t>
  </si>
  <si>
    <t>C5.1</t>
  </si>
  <si>
    <t>C5.2</t>
  </si>
  <si>
    <t>New AMR meters introduced by companies for existing customers (optants)</t>
  </si>
  <si>
    <t>C5.3</t>
  </si>
  <si>
    <t>C6</t>
  </si>
  <si>
    <t>C7</t>
  </si>
  <si>
    <t>New meters for existing customers - business</t>
  </si>
  <si>
    <t>C7.1</t>
  </si>
  <si>
    <t>New basic meters for existing customers - business</t>
  </si>
  <si>
    <t>C7.2</t>
  </si>
  <si>
    <t>New AMR meters for existing customers - business</t>
  </si>
  <si>
    <t>C7.3</t>
  </si>
  <si>
    <t>New AMI meters for existing customers - business</t>
  </si>
  <si>
    <t>C8</t>
  </si>
  <si>
    <t>C8.1</t>
  </si>
  <si>
    <t>C8.2</t>
  </si>
  <si>
    <t>C8.3</t>
  </si>
  <si>
    <t>C9</t>
  </si>
  <si>
    <t>C10</t>
  </si>
  <si>
    <t>Replacement of existing basic meters with AMR meters</t>
  </si>
  <si>
    <t>C11</t>
  </si>
  <si>
    <t>Replacement of existing basic meters with AMI meters</t>
  </si>
  <si>
    <t>C12</t>
  </si>
  <si>
    <t>Smart metering infrastructure</t>
  </si>
  <si>
    <t>C13</t>
  </si>
  <si>
    <t>C14</t>
  </si>
  <si>
    <t>C15</t>
  </si>
  <si>
    <t>C16</t>
  </si>
  <si>
    <t>C17</t>
  </si>
  <si>
    <t>C18</t>
  </si>
  <si>
    <t>C19</t>
  </si>
  <si>
    <t xml:space="preserve">Total metering expenditure </t>
  </si>
  <si>
    <t>Table 8d: Summary of total enhancement for programme  consistent with RAG  reporting requirements</t>
  </si>
  <si>
    <t>D1</t>
  </si>
  <si>
    <t xml:space="preserve">Total enhancement expenditure </t>
  </si>
  <si>
    <t>D2</t>
  </si>
  <si>
    <t>D3</t>
  </si>
  <si>
    <t>Table 8e: Summary of supply demand benefits for programme consistent with RAG  reporting requirements</t>
  </si>
  <si>
    <t>Benefit element</t>
  </si>
  <si>
    <t>E1</t>
  </si>
  <si>
    <t xml:space="preserve">Supply-side improvements </t>
  </si>
  <si>
    <t>Benefit</t>
  </si>
  <si>
    <t>E2</t>
  </si>
  <si>
    <t>Demand-side improvements (excluding leakage and metering)</t>
  </si>
  <si>
    <t>E3</t>
  </si>
  <si>
    <t>E4</t>
  </si>
  <si>
    <t>Internal interconnectors*</t>
  </si>
  <si>
    <t>E5</t>
  </si>
  <si>
    <t>Metering improvements</t>
  </si>
  <si>
    <t xml:space="preserve">E5.1 </t>
  </si>
  <si>
    <t>Benefits from new basic meter installations (household)</t>
  </si>
  <si>
    <t>E5.2</t>
  </si>
  <si>
    <t>Benefits from new AMR meter installations (household)</t>
  </si>
  <si>
    <t>E5.3</t>
  </si>
  <si>
    <t>Benefits from new AMI meter installations (household)</t>
  </si>
  <si>
    <t>E5.4</t>
  </si>
  <si>
    <t>Benefits from replacing (or upgrading) existing basic meters with AMR meters (household)</t>
  </si>
  <si>
    <t>E5.5</t>
  </si>
  <si>
    <t>Benefits from replacing (or upgrading) existing basic or AMR meters with AMI meters (household)</t>
  </si>
  <si>
    <t>E5.6</t>
  </si>
  <si>
    <t>Benefits from replacing (or upgrading) existing basic meters with AMR meters (non-household)</t>
  </si>
  <si>
    <t>E5.7</t>
  </si>
  <si>
    <t>Benefits from replacing (or upgrading) existing basic or AMR meters with AMI meters (non-household)</t>
  </si>
  <si>
    <t>Table 8f: Summary of totex leakage expenditure for programme consistent with RAG  reporting requirements</t>
  </si>
  <si>
    <t>F27</t>
  </si>
  <si>
    <t>Total leakage activity - Maintaining leakage</t>
  </si>
  <si>
    <t>F28</t>
  </si>
  <si>
    <t>Total leakage activity - Reducing leakage</t>
  </si>
  <si>
    <t>Least Cost Programme</t>
  </si>
  <si>
    <t>Table 8c: Summary of metering enhancement expenditure for programme consistent with RAG  reporting requirements</t>
  </si>
  <si>
    <t>Ofwat Core programme</t>
  </si>
  <si>
    <t>NPV cost associated with plan (£000)</t>
  </si>
  <si>
    <t>Option Type</t>
  </si>
  <si>
    <t>COMPANY</t>
  </si>
  <si>
    <t>WRZ_NAME</t>
  </si>
  <si>
    <t>RZ_ID</t>
  </si>
  <si>
    <t>WC id</t>
  </si>
  <si>
    <t>WRZ id</t>
  </si>
  <si>
    <t>Combined id</t>
  </si>
  <si>
    <t>Aquifer recharge/Aquifer storage recovery</t>
  </si>
  <si>
    <t>Affinity Water</t>
  </si>
  <si>
    <t>1 Misbourne</t>
  </si>
  <si>
    <t>AFW</t>
  </si>
  <si>
    <t>MS1</t>
  </si>
  <si>
    <t>AFWMS1</t>
  </si>
  <si>
    <t>Catchment management</t>
  </si>
  <si>
    <t>2 Colne</t>
  </si>
  <si>
    <t>CN2</t>
  </si>
  <si>
    <t>AFWCN2</t>
  </si>
  <si>
    <t xml:space="preserve">Conjunctive use </t>
  </si>
  <si>
    <t>3 Lee</t>
  </si>
  <si>
    <t>LE3</t>
  </si>
  <si>
    <t>AFWLE3</t>
  </si>
  <si>
    <t>Desalination</t>
  </si>
  <si>
    <t>4 Pinn</t>
  </si>
  <si>
    <t>PN4</t>
  </si>
  <si>
    <t>AFWPN4</t>
  </si>
  <si>
    <t>Drought permits/orders</t>
  </si>
  <si>
    <t>5 Stort</t>
  </si>
  <si>
    <t>ST5</t>
  </si>
  <si>
    <t>6 Wey</t>
  </si>
  <si>
    <t>WY6</t>
  </si>
  <si>
    <t>AFWWY6</t>
  </si>
  <si>
    <t>7 Dour</t>
  </si>
  <si>
    <t>DR7</t>
  </si>
  <si>
    <t>AFWDR7</t>
  </si>
  <si>
    <t>8 Brett</t>
  </si>
  <si>
    <t>BR8</t>
  </si>
  <si>
    <t>Anglian Water</t>
  </si>
  <si>
    <t>Essex Central</t>
  </si>
  <si>
    <t>AWS</t>
  </si>
  <si>
    <t>EXC</t>
  </si>
  <si>
    <t>Essex South</t>
  </si>
  <si>
    <t>EXS</t>
  </si>
  <si>
    <t>AWSEXS</t>
  </si>
  <si>
    <t>Fenland</t>
  </si>
  <si>
    <t>FND</t>
  </si>
  <si>
    <t>Hartlepool</t>
  </si>
  <si>
    <t>HPL</t>
  </si>
  <si>
    <t>AWSHPL</t>
  </si>
  <si>
    <t>Lincolnshire Bourne</t>
  </si>
  <si>
    <t>LNB</t>
  </si>
  <si>
    <t>AWSLNB</t>
  </si>
  <si>
    <t>New technology</t>
  </si>
  <si>
    <t>Lincolnshire Central</t>
  </si>
  <si>
    <t>LNC</t>
  </si>
  <si>
    <t>AWSLNC</t>
  </si>
  <si>
    <t>New water treatment works</t>
  </si>
  <si>
    <t>Lincolnshire East</t>
  </si>
  <si>
    <t>LNE</t>
  </si>
  <si>
    <t>AWSLNE</t>
  </si>
  <si>
    <t>Reduction of raw water losses</t>
  </si>
  <si>
    <t>Lincolnshire Retford and Gainsborough</t>
  </si>
  <si>
    <t>LNN</t>
  </si>
  <si>
    <t>AWSLNN</t>
  </si>
  <si>
    <t>Norfolk Aylsham</t>
  </si>
  <si>
    <t>NAY</t>
  </si>
  <si>
    <t>AWSNAY</t>
  </si>
  <si>
    <t>Surface water enhancement</t>
  </si>
  <si>
    <t>Norfolk Bradenham</t>
  </si>
  <si>
    <t>NBR</t>
  </si>
  <si>
    <t>AWSNBR</t>
  </si>
  <si>
    <t>Norfolk East Dereham</t>
  </si>
  <si>
    <t>NED</t>
  </si>
  <si>
    <t>AWSNED</t>
  </si>
  <si>
    <t>Norfolk East Harling</t>
  </si>
  <si>
    <t>NEH</t>
  </si>
  <si>
    <t>AWSNEH</t>
  </si>
  <si>
    <t>Outage reduction</t>
  </si>
  <si>
    <t>Norfolk Happisburgh</t>
  </si>
  <si>
    <t>NHA</t>
  </si>
  <si>
    <t>AWSNHA</t>
  </si>
  <si>
    <t>Water treatment works capacity increase</t>
  </si>
  <si>
    <t>Norfolk Harleston</t>
  </si>
  <si>
    <t>NHL</t>
  </si>
  <si>
    <t>AWSNHL</t>
  </si>
  <si>
    <t>Water treatment works loss recovery</t>
  </si>
  <si>
    <t>Norfolk North Coast</t>
  </si>
  <si>
    <t>NNC</t>
  </si>
  <si>
    <t>AWSNNC</t>
  </si>
  <si>
    <t>Norfolk Norwich &amp; the Broads</t>
  </si>
  <si>
    <t>NTB</t>
  </si>
  <si>
    <t>AWSNTB</t>
  </si>
  <si>
    <t>Norfolk Wymondham</t>
  </si>
  <si>
    <t>NWY</t>
  </si>
  <si>
    <t>AWSNWY</t>
  </si>
  <si>
    <t>Internal potable transfer</t>
  </si>
  <si>
    <t>Ruthamford Central</t>
  </si>
  <si>
    <t>RTC</t>
  </si>
  <si>
    <t>AWSRTC</t>
  </si>
  <si>
    <t>Ruthamford North</t>
  </si>
  <si>
    <t>RTN</t>
  </si>
  <si>
    <t>Ruthamford South</t>
  </si>
  <si>
    <t>RTS</t>
  </si>
  <si>
    <t>Pressure management</t>
  </si>
  <si>
    <t>Ruthamford West</t>
  </si>
  <si>
    <t>RTW</t>
  </si>
  <si>
    <t>AWSRTW</t>
  </si>
  <si>
    <t>Trunk mains renewal/new</t>
  </si>
  <si>
    <t>South Humber Bank</t>
  </si>
  <si>
    <t>SHB</t>
  </si>
  <si>
    <t>AWSSHB</t>
  </si>
  <si>
    <t>Change in levels of service</t>
  </si>
  <si>
    <t>Suffolk East</t>
  </si>
  <si>
    <t>SUE</t>
  </si>
  <si>
    <t>AWSSUE</t>
  </si>
  <si>
    <t>Suffolk Ixworth</t>
  </si>
  <si>
    <t>SUI</t>
  </si>
  <si>
    <t>AWSSUI</t>
  </si>
  <si>
    <t>Household water recycling</t>
  </si>
  <si>
    <t>Suffolk Sudbury</t>
  </si>
  <si>
    <t>SUS</t>
  </si>
  <si>
    <t>AWSSUS</t>
  </si>
  <si>
    <t>Metering change of occupancy</t>
  </si>
  <si>
    <t>Suffolk Thetford</t>
  </si>
  <si>
    <t>SUT</t>
  </si>
  <si>
    <t>AWSSUT</t>
  </si>
  <si>
    <t>Suffolk West &amp; Cambs</t>
  </si>
  <si>
    <t>SWC</t>
  </si>
  <si>
    <t>Metering optants</t>
  </si>
  <si>
    <t>Bristol Water</t>
  </si>
  <si>
    <t>Bristol</t>
  </si>
  <si>
    <t>BWX</t>
  </si>
  <si>
    <t>BRS</t>
  </si>
  <si>
    <t>BWXBRS</t>
  </si>
  <si>
    <t>Metering other selective</t>
  </si>
  <si>
    <t>Cambridge</t>
  </si>
  <si>
    <t>CAM</t>
  </si>
  <si>
    <t>Non-household water audit</t>
  </si>
  <si>
    <t>Dwr Cymru Welsh Water</t>
  </si>
  <si>
    <t>Alwen /Dee</t>
  </si>
  <si>
    <t>DCW</t>
  </si>
  <si>
    <t>ALW</t>
  </si>
  <si>
    <t>DCWALW</t>
  </si>
  <si>
    <t>Bala</t>
  </si>
  <si>
    <t>BAL</t>
  </si>
  <si>
    <t>DCWBAL</t>
  </si>
  <si>
    <t>Blaenau Ffestiniog</t>
  </si>
  <si>
    <t>BFF</t>
  </si>
  <si>
    <t>DCWBFF</t>
  </si>
  <si>
    <t>Retrofitting indoor water efficiency devices</t>
  </si>
  <si>
    <t>Brecon</t>
  </si>
  <si>
    <t>BCN</t>
  </si>
  <si>
    <t>DCWBCN</t>
  </si>
  <si>
    <t>Clwyd Coastal</t>
  </si>
  <si>
    <t>CCT</t>
  </si>
  <si>
    <t>DCWCCT</t>
  </si>
  <si>
    <t>Dyffryn Conwy</t>
  </si>
  <si>
    <t>CWY</t>
  </si>
  <si>
    <t>DCWCWY</t>
  </si>
  <si>
    <t>Water efficiency customer education / awareness</t>
  </si>
  <si>
    <t>Elan/Builth Wells</t>
  </si>
  <si>
    <t>EBW</t>
  </si>
  <si>
    <t>DCWEBW</t>
  </si>
  <si>
    <t>Drought - water use restrictions</t>
  </si>
  <si>
    <t>Harlech/Barmouth</t>
  </si>
  <si>
    <t>HBA</t>
  </si>
  <si>
    <t>DCWHBA</t>
  </si>
  <si>
    <t>Hereford C.U. System</t>
  </si>
  <si>
    <t>HRF</t>
  </si>
  <si>
    <t>DCWHRF</t>
  </si>
  <si>
    <t>Lleyn</t>
  </si>
  <si>
    <t>LLN</t>
  </si>
  <si>
    <t>DCWLLN</t>
  </si>
  <si>
    <t>Llyswen</t>
  </si>
  <si>
    <t>LYW</t>
  </si>
  <si>
    <t>DCWLYW</t>
  </si>
  <si>
    <t>Mid &amp; South Ceredigion</t>
  </si>
  <si>
    <t>MSC</t>
  </si>
  <si>
    <t>DCWMSC</t>
  </si>
  <si>
    <t>Monmouth</t>
  </si>
  <si>
    <t>MNM</t>
  </si>
  <si>
    <t>DCWMNM</t>
  </si>
  <si>
    <t>North Ceredigion</t>
  </si>
  <si>
    <t>NTC</t>
  </si>
  <si>
    <t>DCWNTC</t>
  </si>
  <si>
    <t>North Eryri / Ynys Mon</t>
  </si>
  <si>
    <t>NTE</t>
  </si>
  <si>
    <t>DCWNTE</t>
  </si>
  <si>
    <t>Pembrokeshire</t>
  </si>
  <si>
    <t>PBK</t>
  </si>
  <si>
    <t>DCWPBK</t>
  </si>
  <si>
    <t>Pilleth</t>
  </si>
  <si>
    <t>PLH</t>
  </si>
  <si>
    <t>DCWPLH</t>
  </si>
  <si>
    <t>Ross-on-Wye</t>
  </si>
  <si>
    <t>ROW</t>
  </si>
  <si>
    <t>DCWROW</t>
  </si>
  <si>
    <t>SE Wales C.U. System</t>
  </si>
  <si>
    <t>SEW</t>
  </si>
  <si>
    <t>DCWSEW</t>
  </si>
  <si>
    <t>South Meirionydd</t>
  </si>
  <si>
    <t>SMR</t>
  </si>
  <si>
    <t>DCWSMR</t>
  </si>
  <si>
    <t>Tywi C.U. System</t>
  </si>
  <si>
    <t>TYW</t>
  </si>
  <si>
    <t>DCWTYW</t>
  </si>
  <si>
    <t>Tywyn / Aberdyfi</t>
  </si>
  <si>
    <t>TYN</t>
  </si>
  <si>
    <t>DCWTYN</t>
  </si>
  <si>
    <t>Vowchurch</t>
  </si>
  <si>
    <t>VWH</t>
  </si>
  <si>
    <t>DCWVWH</t>
  </si>
  <si>
    <t>Whitbourne</t>
  </si>
  <si>
    <t>WTB</t>
  </si>
  <si>
    <t>DCWWTB</t>
  </si>
  <si>
    <t>Essex and Suffolk Water</t>
  </si>
  <si>
    <t>Blyth</t>
  </si>
  <si>
    <t>ESW</t>
  </si>
  <si>
    <t>BLY</t>
  </si>
  <si>
    <t>ESWBLY</t>
  </si>
  <si>
    <t>Essex</t>
  </si>
  <si>
    <t>ESX</t>
  </si>
  <si>
    <t>Hartismere</t>
  </si>
  <si>
    <t>HRT</t>
  </si>
  <si>
    <t>ESWHRT</t>
  </si>
  <si>
    <t>Northern Central</t>
  </si>
  <si>
    <t>NCT</t>
  </si>
  <si>
    <t>ESWNCT</t>
  </si>
  <si>
    <t xml:space="preserve">Hafren dyfrdwy </t>
  </si>
  <si>
    <t>Llandinam and Llanwrin</t>
  </si>
  <si>
    <t>HDD</t>
  </si>
  <si>
    <t>LAL</t>
  </si>
  <si>
    <t>HDDLAL</t>
  </si>
  <si>
    <t>Llanfyllin</t>
  </si>
  <si>
    <t>LLF</t>
  </si>
  <si>
    <t>HDDLLF</t>
  </si>
  <si>
    <t>Saltney</t>
  </si>
  <si>
    <t>SAL</t>
  </si>
  <si>
    <t>HDDSAL</t>
  </si>
  <si>
    <t>Wrexham</t>
  </si>
  <si>
    <t>WRX</t>
  </si>
  <si>
    <t>HDDWRX</t>
  </si>
  <si>
    <t>Northumbrian Water</t>
  </si>
  <si>
    <t>Berwick-Fowberry</t>
  </si>
  <si>
    <t>NWL</t>
  </si>
  <si>
    <t>BWF</t>
  </si>
  <si>
    <t>NWLBWF</t>
  </si>
  <si>
    <t>Kielder</t>
  </si>
  <si>
    <t>KLD</t>
  </si>
  <si>
    <t>NWLKLD</t>
  </si>
  <si>
    <t>Portsmouth Water</t>
  </si>
  <si>
    <t>Portsmouth</t>
  </si>
  <si>
    <t>PWS</t>
  </si>
  <si>
    <t>PRT</t>
  </si>
  <si>
    <t>PWSPRT</t>
  </si>
  <si>
    <t>SES Water</t>
  </si>
  <si>
    <t>SES</t>
  </si>
  <si>
    <t>SESSES</t>
  </si>
  <si>
    <t>Severn Trent Water</t>
  </si>
  <si>
    <t>Bishops Castle</t>
  </si>
  <si>
    <t>SVT</t>
  </si>
  <si>
    <t>BCS</t>
  </si>
  <si>
    <t>SVTBCS</t>
  </si>
  <si>
    <t>Chester</t>
  </si>
  <si>
    <t>CHS</t>
  </si>
  <si>
    <t>SVTCHS</t>
  </si>
  <si>
    <t>Forest and Stroud</t>
  </si>
  <si>
    <t>FAS</t>
  </si>
  <si>
    <t>SVTFAS</t>
  </si>
  <si>
    <t>Kinsall</t>
  </si>
  <si>
    <t>KSL</t>
  </si>
  <si>
    <t>SVTKSL</t>
  </si>
  <si>
    <t>Mardy</t>
  </si>
  <si>
    <t>MDY</t>
  </si>
  <si>
    <t>SVTMDY</t>
  </si>
  <si>
    <t>Newark</t>
  </si>
  <si>
    <t>NWK</t>
  </si>
  <si>
    <t>SVTNWK</t>
  </si>
  <si>
    <t>North Staffs</t>
  </si>
  <si>
    <t>NST</t>
  </si>
  <si>
    <t>SVTNST</t>
  </si>
  <si>
    <t>Rutland</t>
  </si>
  <si>
    <t>RTL</t>
  </si>
  <si>
    <t>SVTRTL</t>
  </si>
  <si>
    <t>Ruyton</t>
  </si>
  <si>
    <t>RYN</t>
  </si>
  <si>
    <t>SVTRYN</t>
  </si>
  <si>
    <t>Shelton</t>
  </si>
  <si>
    <t>SHN</t>
  </si>
  <si>
    <t>SVTSHN</t>
  </si>
  <si>
    <t>Stafford</t>
  </si>
  <si>
    <t>STF</t>
  </si>
  <si>
    <t>SVTSTF</t>
  </si>
  <si>
    <t>SvT - Nottinghamshire</t>
  </si>
  <si>
    <t>NTT</t>
  </si>
  <si>
    <t>SVTNTT</t>
  </si>
  <si>
    <t>SvT- Strategic Grid</t>
  </si>
  <si>
    <t>SGD</t>
  </si>
  <si>
    <t>SVTSGD</t>
  </si>
  <si>
    <t>Whitchurch and Wem</t>
  </si>
  <si>
    <t>WAW</t>
  </si>
  <si>
    <t>SVTWAW</t>
  </si>
  <si>
    <t>Wolverhampton</t>
  </si>
  <si>
    <t>WVH</t>
  </si>
  <si>
    <t>SVTWVH</t>
  </si>
  <si>
    <t>South East Water</t>
  </si>
  <si>
    <t>Tunbridge Wells (1)</t>
  </si>
  <si>
    <t>TW1</t>
  </si>
  <si>
    <t>SEWTW1</t>
  </si>
  <si>
    <t>Haywards Heath (2)</t>
  </si>
  <si>
    <t>HH2</t>
  </si>
  <si>
    <t>SEWHH2</t>
  </si>
  <si>
    <t>Eastbourne (3)</t>
  </si>
  <si>
    <t>EB3</t>
  </si>
  <si>
    <t>SEWEB3</t>
  </si>
  <si>
    <t>Bracknell (4)</t>
  </si>
  <si>
    <t>BK4</t>
  </si>
  <si>
    <t>SEWBK4</t>
  </si>
  <si>
    <t>Farnham (5)</t>
  </si>
  <si>
    <t>FN5</t>
  </si>
  <si>
    <t>SEWFN5</t>
  </si>
  <si>
    <t>Maidstone (6)</t>
  </si>
  <si>
    <t>MT6</t>
  </si>
  <si>
    <t>SEWMT6</t>
  </si>
  <si>
    <t>Cranbrook (7)</t>
  </si>
  <si>
    <t>CB7</t>
  </si>
  <si>
    <t>SEWCB7</t>
  </si>
  <si>
    <t>Ashford (8)</t>
  </si>
  <si>
    <t>AF8</t>
  </si>
  <si>
    <t>SEWAF8</t>
  </si>
  <si>
    <t>South Staffordshire Water</t>
  </si>
  <si>
    <t>South Staffordshire</t>
  </si>
  <si>
    <t>SSW</t>
  </si>
  <si>
    <t>SSWSSW</t>
  </si>
  <si>
    <t>South West Water</t>
  </si>
  <si>
    <t>Bournemouth</t>
  </si>
  <si>
    <t>SWW</t>
  </si>
  <si>
    <t>BNM</t>
  </si>
  <si>
    <t>SWWBNM</t>
  </si>
  <si>
    <t>Colliford</t>
  </si>
  <si>
    <t>CLF</t>
  </si>
  <si>
    <t>SWWCLF</t>
  </si>
  <si>
    <t>Roadford</t>
  </si>
  <si>
    <t>RDF</t>
  </si>
  <si>
    <t>SWWRDF</t>
  </si>
  <si>
    <t>Wimbleball</t>
  </si>
  <si>
    <t>WMB</t>
  </si>
  <si>
    <t>SWWWMB</t>
  </si>
  <si>
    <t>Southern Water</t>
  </si>
  <si>
    <t>Hamps Andover</t>
  </si>
  <si>
    <t>SWS</t>
  </si>
  <si>
    <t>HAD</t>
  </si>
  <si>
    <t>SWSHAD</t>
  </si>
  <si>
    <t>Hamps Kingsclere</t>
  </si>
  <si>
    <t>HKC</t>
  </si>
  <si>
    <t>SWSHKC</t>
  </si>
  <si>
    <t>Hamps Rural</t>
  </si>
  <si>
    <t>HRU</t>
  </si>
  <si>
    <t>SWSHRU</t>
  </si>
  <si>
    <t>Hamps Winchester</t>
  </si>
  <si>
    <t>HWN</t>
  </si>
  <si>
    <t>SWSHWN</t>
  </si>
  <si>
    <t>Isle of Wight</t>
  </si>
  <si>
    <t>IOW</t>
  </si>
  <si>
    <t>SWSIOW</t>
  </si>
  <si>
    <t>Kent Medway East</t>
  </si>
  <si>
    <t>KME</t>
  </si>
  <si>
    <t>SWSKME</t>
  </si>
  <si>
    <t>Kent Medway West</t>
  </si>
  <si>
    <t>KMW</t>
  </si>
  <si>
    <t>SWSKMW</t>
  </si>
  <si>
    <t>Kent Thannet</t>
  </si>
  <si>
    <t>KTH</t>
  </si>
  <si>
    <t>SWSKTH</t>
  </si>
  <si>
    <t>Southampton East</t>
  </si>
  <si>
    <t>HSE</t>
  </si>
  <si>
    <t>SWSHSE</t>
  </si>
  <si>
    <t>Southampton West</t>
  </si>
  <si>
    <t>HSW</t>
  </si>
  <si>
    <t>SWSHSW</t>
  </si>
  <si>
    <t>Sussex Brighton</t>
  </si>
  <si>
    <t>SBR</t>
  </si>
  <si>
    <t>SWSSBR</t>
  </si>
  <si>
    <t>Sussex Hastings</t>
  </si>
  <si>
    <t>SHT</t>
  </si>
  <si>
    <t>SWSSHT</t>
  </si>
  <si>
    <t>Sussex North</t>
  </si>
  <si>
    <t>SNT</t>
  </si>
  <si>
    <t>SWSSNT</t>
  </si>
  <si>
    <t>Sussex Worthing</t>
  </si>
  <si>
    <t>SWR</t>
  </si>
  <si>
    <t>SWSSWR</t>
  </si>
  <si>
    <t>Thames Water</t>
  </si>
  <si>
    <t>Guildford</t>
  </si>
  <si>
    <t>TWS</t>
  </si>
  <si>
    <t>GLF</t>
  </si>
  <si>
    <t>TWSGLF</t>
  </si>
  <si>
    <t>Henley</t>
  </si>
  <si>
    <t>HNY</t>
  </si>
  <si>
    <t>TWSHNY</t>
  </si>
  <si>
    <t>Kennet Valley</t>
  </si>
  <si>
    <t>KNV</t>
  </si>
  <si>
    <t>TWSKNV</t>
  </si>
  <si>
    <t>London</t>
  </si>
  <si>
    <t>LND</t>
  </si>
  <si>
    <t>TWSLND</t>
  </si>
  <si>
    <t>Slough Wycombe Aylesbury</t>
  </si>
  <si>
    <t>SWA</t>
  </si>
  <si>
    <t>TWSSWA</t>
  </si>
  <si>
    <t>SWOX</t>
  </si>
  <si>
    <t>SWX</t>
  </si>
  <si>
    <t>TWSSWX</t>
  </si>
  <si>
    <t>United Utilities</t>
  </si>
  <si>
    <t>Carlisle</t>
  </si>
  <si>
    <t>UUX</t>
  </si>
  <si>
    <t>CRL</t>
  </si>
  <si>
    <t>UUXCRL</t>
  </si>
  <si>
    <t>North Eden</t>
  </si>
  <si>
    <t>UUXNED</t>
  </si>
  <si>
    <t>UU-Strategic</t>
  </si>
  <si>
    <t>STG</t>
  </si>
  <si>
    <t>UUXSTG</t>
  </si>
  <si>
    <t>Veolia Water Projects</t>
  </si>
  <si>
    <t>Veolia Water P</t>
  </si>
  <si>
    <t>VWP</t>
  </si>
  <si>
    <t>TDW</t>
  </si>
  <si>
    <t>VWPTDW</t>
  </si>
  <si>
    <t>Wessex Water</t>
  </si>
  <si>
    <t>Wessex</t>
  </si>
  <si>
    <t>WXW</t>
  </si>
  <si>
    <t>WSX</t>
  </si>
  <si>
    <t>WXWWSX</t>
  </si>
  <si>
    <t>Yorkshire Water</t>
  </si>
  <si>
    <t>East SWZ</t>
  </si>
  <si>
    <t>YWS</t>
  </si>
  <si>
    <t>EST</t>
  </si>
  <si>
    <t>YWSEST</t>
  </si>
  <si>
    <t>Grid SWZ</t>
  </si>
  <si>
    <t>GRD</t>
  </si>
  <si>
    <t>YWSGRD</t>
  </si>
  <si>
    <t>NAV</t>
  </si>
  <si>
    <t>NAVNAV</t>
  </si>
  <si>
    <t>DP_TUB</t>
  </si>
  <si>
    <t>Temporary use ban</t>
  </si>
  <si>
    <t>DP_NEUB</t>
  </si>
  <si>
    <t>Non-essential use ban</t>
  </si>
  <si>
    <t>2021-117</t>
  </si>
  <si>
    <t>Metering of leftover commercials</t>
  </si>
  <si>
    <t>51dF</t>
  </si>
  <si>
    <t>2021-121</t>
  </si>
  <si>
    <t>Water audits retail - non process smart network</t>
  </si>
  <si>
    <t>2021-013</t>
  </si>
  <si>
    <t>Non-household water efficiency programme (company led, self install)</t>
  </si>
  <si>
    <t>2021-015</t>
  </si>
  <si>
    <t>Non-household water efficiency programme (company led, site visit with install)</t>
  </si>
  <si>
    <t>2021-114</t>
  </si>
  <si>
    <t>Retailer incentive mechanism</t>
  </si>
  <si>
    <t>SN_01</t>
  </si>
  <si>
    <t>Fitting of universal smart meter technology through AMP8</t>
  </si>
  <si>
    <t>SN_03</t>
  </si>
  <si>
    <t>Fitting of universal smart meter technology through AMP8, AMP9 and AMP10</t>
  </si>
  <si>
    <t>Fitting of Enhanced Meter Technology over AMP8 to all NHH</t>
  </si>
  <si>
    <t>2021-108</t>
  </si>
  <si>
    <t>DMA ALC plus (with smart networks)</t>
  </si>
  <si>
    <t>2021-119</t>
  </si>
  <si>
    <t>DMA ALC plus (without smart networks)</t>
  </si>
  <si>
    <t>WL_02_DEL</t>
  </si>
  <si>
    <t>Water labelling no minimum standards - delayed impact</t>
  </si>
  <si>
    <t>2021-002</t>
  </si>
  <si>
    <t>Community rainwater harvesting</t>
  </si>
  <si>
    <t>2021-075</t>
  </si>
  <si>
    <t>Home retrofit rainwater harvesting/greywater reuse</t>
  </si>
  <si>
    <t>2021-076</t>
  </si>
  <si>
    <t>Increased media campiagns and school education</t>
  </si>
  <si>
    <t>2021-077</t>
  </si>
  <si>
    <t>New homes standards, voluntary</t>
  </si>
  <si>
    <t>2021-006</t>
  </si>
  <si>
    <t>Targeting properties for efficiency Water Neutrality</t>
  </si>
  <si>
    <t>2021-090</t>
  </si>
  <si>
    <t>Targeting propeties for efficiency audits (with smart metering)</t>
  </si>
  <si>
    <t>2021-091</t>
  </si>
  <si>
    <t>Targeting propeties for efficiency audits (without smart metering)</t>
  </si>
  <si>
    <t>2021-093</t>
  </si>
  <si>
    <t>Community water efficiency scheme (with smart metering)</t>
  </si>
  <si>
    <t>2021-120</t>
  </si>
  <si>
    <t>drought - water use restrictions</t>
  </si>
  <si>
    <t>52dP</t>
  </si>
  <si>
    <t>Page 21</t>
  </si>
  <si>
    <t>Page 22</t>
  </si>
  <si>
    <t>Demand savings when a Non-Essential Use Ban is implemented</t>
  </si>
  <si>
    <t>Demand savings when a Temporary Use Ban is implemented</t>
  </si>
  <si>
    <t>Demand savings when an appeal for restraint is implemented</t>
  </si>
  <si>
    <t>2021-120 delected which delivers benefits quicker to support SDB</t>
  </si>
  <si>
    <t>Would not be used each year due to disruption to economy</t>
  </si>
  <si>
    <t>2021-120 addresses all NHH including leftover commericals</t>
  </si>
  <si>
    <t>Benefits of delivering quicker are small and deliverability key issue</t>
  </si>
  <si>
    <t>Delaying smart netwrok impacts on other choices in plan, delays benefits and icreases cost</t>
  </si>
  <si>
    <t>2021-121 delivers better cba</t>
  </si>
  <si>
    <t>Not developed enough at this stage to provide reliable deliverables - risk</t>
  </si>
  <si>
    <t>2021-119 delivers better CBA</t>
  </si>
  <si>
    <t>Concerns around timescales and pace of change means this option is seen as less likely</t>
  </si>
  <si>
    <t>Other options provide better cba</t>
  </si>
  <si>
    <t>Replacement required to maintain leakage target</t>
  </si>
  <si>
    <t>DP_AR</t>
  </si>
  <si>
    <t>51cU</t>
  </si>
  <si>
    <t>Screened out at consultation due to dependence on AWS drought permit</t>
  </si>
  <si>
    <t>CW2475DiiiOp2</t>
  </si>
  <si>
    <t>CW2475DiiiOp3</t>
  </si>
  <si>
    <t>AWS potable transfer through CAM area 26Mld partial treatment</t>
  </si>
  <si>
    <t>AWS potable transfer through CAM area 26Mld full treatment</t>
  </si>
  <si>
    <t>Full treatment deemed unrequired</t>
  </si>
  <si>
    <t>Input Note - consumption &amp; uspl</t>
  </si>
  <si>
    <t>Leave Blank</t>
  </si>
  <si>
    <t>Change volume delivered to measured households input reductions as -ve, line to include both measured household consumption and USPL options</t>
  </si>
  <si>
    <t>Change volume delivered to unmeasured households input reductions as -ve, line to include both unmeasured household consumption and USPL options</t>
  </si>
  <si>
    <t>Options to reduce water taken unbilled input as -ve</t>
  </si>
  <si>
    <t>Reduce distribution system operational use (DSOU) input as -ve</t>
  </si>
  <si>
    <t>Options impacting on measured Non Household - USPL input reductions as -ve</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</si>
  <si>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</si>
  <si>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</si>
  <si>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</si>
  <si>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</si>
  <si>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Reduce distribution losses input as -ve</t>
  </si>
  <si>
    <t>Customer supply pipe repair or replacement (without smart networks)</t>
  </si>
  <si>
    <t>Change volume delivered to measured non households input reductions as -ve, line to include both measured non-household consumption and USPL options</t>
  </si>
  <si>
    <t>Change volume delivered to unmeasured non households input reductions as -ve, line to include both unmeasured non-household consumption and USPL options</t>
  </si>
  <si>
    <t>Non potable supplies input reductions as -ve and increases as +ve</t>
  </si>
  <si>
    <t>Raw water imports input reductions as -ve</t>
  </si>
  <si>
    <t>Potable water imports input reductions as -ve</t>
  </si>
  <si>
    <t>Raw water exports input reductions as +ve and increases as -ve</t>
  </si>
  <si>
    <t>Potable water exports input reductions as +ve and increases as -ve</t>
  </si>
  <si>
    <t>Reduce raw water losses and operational use 
input as -ve</t>
  </si>
  <si>
    <t>Reduce treatment works losses input as -ve</t>
  </si>
  <si>
    <t>Reduce outages input as -ve</t>
  </si>
  <si>
    <t>CW24-75Diii Op2</t>
  </si>
  <si>
    <t/>
  </si>
  <si>
    <t>FND29</t>
  </si>
  <si>
    <t>Fens Reservoir 50 Mm3</t>
  </si>
  <si>
    <t>Fens Reservoir 50Mm3</t>
  </si>
  <si>
    <t>Fens Reservoir 50Mm4</t>
  </si>
  <si>
    <t>Fens Reservoir 50Mm5</t>
  </si>
  <si>
    <t>Fens Reservoir 50Mm6</t>
  </si>
  <si>
    <t>Fens Reservoir 50Mm7</t>
  </si>
  <si>
    <t>Fens Reservoir 50Mm8</t>
  </si>
  <si>
    <t>Fens Reservoir 50Mm9</t>
  </si>
  <si>
    <t>Fens Reservoir 50Mm10</t>
  </si>
  <si>
    <t>Fens Reservoir 50Mm11</t>
  </si>
  <si>
    <t>Fens Reservoir 50Mm12</t>
  </si>
  <si>
    <t>Fens Reservoir 50Mm13</t>
  </si>
  <si>
    <t>Fens Reservoir 50Mm14</t>
  </si>
  <si>
    <t>Fens Reservoir 50Mm15</t>
  </si>
  <si>
    <t>Fens Reservoir 50Mm16</t>
  </si>
  <si>
    <t>Fens Reservoir 50Mm17</t>
  </si>
  <si>
    <t>Fens Reservoir 50Mm18</t>
  </si>
  <si>
    <t>Fens Reservoir 50Mm19</t>
  </si>
  <si>
    <t>Fens Reservoir 50Mm20</t>
  </si>
  <si>
    <t>Fens Reservoir 50Mm21</t>
  </si>
  <si>
    <t>Fens Reservoir 50Mm22</t>
  </si>
  <si>
    <t>Fens Reservoir 50Mm23</t>
  </si>
  <si>
    <t>Fens Reservoir 50Mm24</t>
  </si>
  <si>
    <t>Fens Reservoir 50Mm25</t>
  </si>
  <si>
    <t>Fens Reservoir 50Mm26</t>
  </si>
  <si>
    <t>Fens Reservoir 50Mm27</t>
  </si>
  <si>
    <t>Fens Reservoir 50Mm28</t>
  </si>
  <si>
    <t>Fens Reservoir 50Mm29</t>
  </si>
  <si>
    <t>Fens Reservoir 50Mm30</t>
  </si>
  <si>
    <t>Fens Reservoir 50Mm31</t>
  </si>
  <si>
    <t>Fens Reservoir 50Mm32</t>
  </si>
  <si>
    <t>Fens Reservoir 50Mm33</t>
  </si>
  <si>
    <t>Fens Reservoir 50Mm34</t>
  </si>
  <si>
    <t>Fens Reservoir 50Mm35</t>
  </si>
  <si>
    <t>Fens Reservoir 50Mm36</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</si>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</sst>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yyyy\-yy"/>
    <numFmt numFmtId="165" formatCode="0.0"/>
    <numFmt numFmtId="166" formatCode="0.0%"/>
    <numFmt numFmtId="167" formatCode="0.000"/>
    <numFmt numFmtId="168" formatCode="&quot;£&quot;#,##0"/>
    <numFmt numFmtId="169" formatCode="&quot;£&quot;#,##0_);[Red]\(&quot;£&quot;#,##0\)"/>
    <numFmt numFmtId="170" formatCode="_-* #,##0.0_-;\-* #,##0.0_-;_-* &quot;-&quot;??_-;_-@_-"/>
    <numFmt numFmtId="171" formatCode="_-* #,##0_-;\-* #,##0_-;_-* &quot;-&quot;??_-;_-@_-"/>
  </numFmts>
  <fonts count="61"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2"/>
      <name val="Arial"/>
      <family val="2"/>
    </font>
    <font>
      <sz val="11"/>
      <name val="Arial"/>
      <family val="2"/>
    </font>
    <font>
      <sz val="10"/>
      <name val="Arial"/>
      <family val="2"/>
    </font>
    <font>
      <b/>
      <sz val="11"/>
      <name val="Arial"/>
      <family val="2"/>
    </font>
    <font>
      <b/>
      <sz val="11"/>
      <color indexed="9"/>
      <name val="Arial"/>
      <family val="2"/>
    </font>
    <font>
      <sz val="11"/>
      <color indexed="9"/>
      <name val="Arial"/>
      <family val="2"/>
    </font>
    <font>
      <sz val="12"/>
      <color indexed="81"/>
      <name val="Tahoma"/>
      <family val="2"/>
    </font>
    <font>
      <b/>
      <sz val="14"/>
      <color indexed="81"/>
      <name val="Tahoma"/>
      <family val="2"/>
    </font>
    <font>
      <sz val="14"/>
      <color indexed="81"/>
      <name val="Tahoma"/>
      <family val="2"/>
    </font>
    <font>
      <sz val="12"/>
      <color theme="1"/>
      <name val="Arial"/>
      <family val="2"/>
    </font>
    <font>
      <sz val="11"/>
      <color theme="1"/>
      <name val="Arial"/>
      <family val="2"/>
    </font>
    <font>
      <b/>
      <sz val="11"/>
      <color theme="1"/>
      <name val="Arial"/>
      <family val="2"/>
    </font>
    <font>
      <b/>
      <sz val="11"/>
      <color indexed="10"/>
      <name val="Arial"/>
      <family val="2"/>
    </font>
    <font>
      <sz val="11"/>
      <color rgb="FFFF0000"/>
      <name val="Arial"/>
      <family val="2"/>
    </font>
    <font>
      <b/>
      <sz val="11"/>
      <color rgb="FF000000"/>
      <name val="Arial"/>
      <family val="2"/>
    </font>
    <font>
      <b/>
      <sz val="11"/>
      <color rgb="FFFF0000"/>
      <name val="Arial"/>
      <family val="2"/>
    </font>
    <font>
      <sz val="11"/>
      <color rgb="FF000000"/>
      <name val="Arial"/>
      <family val="2"/>
    </font>
    <font>
      <sz val="11"/>
      <color rgb="FF808080"/>
      <name val="Arial"/>
      <family val="2"/>
    </font>
    <font>
      <i/>
      <sz val="11"/>
      <name val="Arial"/>
      <family val="2"/>
    </font>
    <font>
      <b/>
      <i/>
      <sz val="11"/>
      <name val="Arial"/>
      <family val="2"/>
    </font>
    <font>
      <u/>
      <sz val="11"/>
      <color indexed="12"/>
      <name val="Arial"/>
      <family val="2"/>
    </font>
    <font>
      <sz val="11"/>
      <color indexed="47"/>
      <name val="Arial"/>
      <family val="2"/>
    </font>
    <font>
      <sz val="11"/>
      <color theme="0"/>
      <name val="Arial"/>
      <family val="2"/>
    </font>
    <font>
      <b/>
      <sz val="14"/>
      <name val="Arial"/>
      <family val="2"/>
    </font>
    <font>
      <b/>
      <sz val="18"/>
      <name val="Arial"/>
      <family val="2"/>
    </font>
    <font>
      <sz val="18"/>
      <color theme="1"/>
      <name val="Arial"/>
      <family val="2"/>
    </font>
    <font>
      <b/>
      <u/>
      <sz val="11"/>
      <color indexed="12"/>
      <name val="Arial"/>
      <family val="2"/>
    </font>
    <font>
      <b/>
      <sz val="14"/>
      <color theme="1"/>
      <name val="Arial"/>
      <family val="2"/>
    </font>
    <font>
      <b/>
      <sz val="24"/>
      <color theme="1"/>
      <name val="Arial"/>
      <family val="2"/>
    </font>
    <font>
      <b/>
      <sz val="12"/>
      <color theme="1"/>
      <name val="Arial"/>
      <family val="2"/>
    </font>
    <font>
      <sz val="11"/>
      <color rgb="FF000000"/>
      <name val="Calibri"/>
      <family val="2"/>
    </font>
    <font>
      <sz val="8"/>
      <name val="Arial"/>
      <family val="2"/>
    </font>
    <font>
      <sz val="10"/>
      <color theme="1"/>
      <name val="Arial"/>
      <family val="2"/>
    </font>
    <font>
      <b/>
      <sz val="10"/>
      <color theme="1"/>
      <name val="Arial"/>
      <family val="2"/>
    </font>
    <font>
      <sz val="8"/>
      <color theme="1"/>
      <name val="Arial"/>
      <family val="2"/>
    </font>
    <font>
      <b/>
      <sz val="10"/>
      <color theme="0"/>
      <name val="Arial"/>
      <family val="2"/>
    </font>
    <font>
      <sz val="14"/>
      <color theme="1"/>
      <name val="Arial"/>
      <family val="2"/>
    </font>
    <font>
      <b/>
      <sz val="12"/>
      <color rgb="FFFF0000"/>
      <name val="Arial"/>
      <family val="2"/>
    </font>
    <font>
      <b/>
      <sz val="10"/>
      <name val="Arial"/>
      <family val="2"/>
    </font>
    <font>
      <sz val="9"/>
      <color indexed="81"/>
      <name val="Tahoma"/>
      <family val="2"/>
    </font>
    <font>
      <b/>
      <sz val="9"/>
      <color indexed="81"/>
      <name val="Tahoma"/>
      <family val="2"/>
    </font>
    <font>
      <sz val="18"/>
      <color rgb="FF000000"/>
      <name val="Arial"/>
      <family val="2"/>
    </font>
    <font>
      <b/>
      <sz val="18"/>
      <color rgb="FF000000"/>
      <name val="Arial"/>
      <family val="2"/>
    </font>
    <font>
      <b/>
      <u/>
      <sz val="18"/>
      <color indexed="12"/>
      <name val="Arial"/>
      <family val="2"/>
    </font>
    <font>
      <sz val="18"/>
      <color theme="1"/>
      <name val="Calibri"/>
      <family val="2"/>
      <charset val="1"/>
    </font>
    <font>
      <b/>
      <sz val="18"/>
      <color rgb="FFFF0000"/>
      <name val="Arial"/>
      <family val="2"/>
    </font>
    <font>
      <b/>
      <vertAlign val="subscript"/>
      <sz val="18"/>
      <color rgb="FF000000"/>
      <name val="Arial"/>
      <family val="2"/>
    </font>
    <font>
      <sz val="18"/>
      <name val="Arial"/>
      <family val="2"/>
    </font>
    <font>
      <i/>
      <sz val="18"/>
      <color rgb="FF000000"/>
      <name val="Arial"/>
      <family val="2"/>
    </font>
    <font>
      <sz val="18"/>
      <color rgb="FF000000"/>
      <name val="Calibri"/>
      <family val="2"/>
    </font>
    <font>
      <b/>
      <sz val="18"/>
      <color theme="1"/>
      <name val="Arial"/>
      <family val="2"/>
    </font>
    <font>
      <i/>
      <sz val="18"/>
      <name val="Arial"/>
      <family val="2"/>
    </font>
    <font>
      <i/>
      <sz val="18"/>
      <color rgb="FF000000"/>
      <name val="Arial"/>
      <family val="2"/>
    </font>
    <font>
      <sz val="18"/>
      <color rgb="FF000000"/>
      <name val="Arial"/>
      <family val="2"/>
    </font>
  </fonts>
  <fills count="5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rgb="FFFFFFFF"/>
        <bgColor rgb="FF000000"/>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99"/>
        <bgColor rgb="FF000000"/>
      </patternFill>
    </fill>
    <fill>
      <patternFill patternType="solid">
        <fgColor rgb="FFC0C0C0"/>
        <bgColor rgb="FF000000"/>
      </patternFill>
    </fill>
    <fill>
      <patternFill patternType="solid">
        <fgColor rgb="FFD9D9D9"/>
        <bgColor rgb="FF000000"/>
      </patternFill>
    </fill>
    <fill>
      <patternFill patternType="solid">
        <fgColor rgb="FF99CCFF"/>
        <bgColor rgb="FF000000"/>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4.9989318521683403E-2"/>
        <bgColor rgb="FF000000"/>
      </patternFill>
    </fill>
    <fill>
      <patternFill patternType="solid">
        <fgColor theme="0" tint="-0.14999847407452621"/>
        <bgColor rgb="FF000000"/>
      </patternFill>
    </fill>
    <fill>
      <patternFill patternType="solid">
        <fgColor rgb="FFA5A5A5"/>
        <bgColor indexed="64"/>
      </patternFill>
    </fill>
    <fill>
      <patternFill patternType="solid">
        <fgColor rgb="FFFFFFFF"/>
        <bgColor indexed="64"/>
      </patternFill>
    </fill>
    <fill>
      <patternFill patternType="solid">
        <fgColor rgb="FFBFBFBF"/>
        <bgColor indexed="64"/>
      </patternFill>
    </fill>
    <fill>
      <patternFill patternType="solid">
        <fgColor rgb="FFAEAAAA"/>
        <bgColor indexed="64"/>
      </patternFill>
    </fill>
    <fill>
      <patternFill patternType="solid">
        <fgColor theme="0" tint="-0.249977111117893"/>
        <bgColor rgb="FF000000"/>
      </patternFill>
    </fill>
    <fill>
      <patternFill patternType="solid">
        <fgColor theme="9" tint="0.59999389629810485"/>
        <bgColor indexed="64"/>
      </patternFill>
    </fill>
    <fill>
      <patternFill patternType="solid">
        <fgColor theme="0" tint="-0.34998626667073579"/>
        <bgColor indexed="64"/>
      </patternFill>
    </fill>
    <fill>
      <patternFill patternType="solid">
        <fgColor rgb="FFD9D9D9"/>
        <bgColor indexed="64"/>
      </patternFill>
    </fill>
    <fill>
      <patternFill patternType="solid">
        <fgColor rgb="FFBFBFBF"/>
        <bgColor rgb="FF000000"/>
      </patternFill>
    </fill>
    <fill>
      <patternFill patternType="solid">
        <fgColor theme="4" tint="0.59999389629810485"/>
        <bgColor indexed="64"/>
      </patternFill>
    </fill>
    <fill>
      <patternFill patternType="solid">
        <fgColor theme="7"/>
        <bgColor indexed="64"/>
      </patternFill>
    </fill>
    <fill>
      <patternFill patternType="solid">
        <fgColor theme="7" tint="0.39997558519241921"/>
        <bgColor indexed="64"/>
      </patternFill>
    </fill>
    <fill>
      <patternFill patternType="solid">
        <fgColor theme="9"/>
        <bgColor indexed="64"/>
      </patternFill>
    </fill>
    <fill>
      <patternFill patternType="solid">
        <fgColor theme="9" tint="0.39997558519241921"/>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theme="7" tint="0.39997558519241921"/>
        <bgColor rgb="FF000000"/>
      </patternFill>
    </fill>
    <fill>
      <patternFill patternType="solid">
        <fgColor theme="5" tint="0.39997558519241921"/>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rgb="FFCCFFCC"/>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00B050"/>
        <bgColor rgb="FF000000"/>
      </patternFill>
    </fill>
    <fill>
      <patternFill patternType="solid">
        <fgColor rgb="FF92D050"/>
        <bgColor rgb="FF000000"/>
      </patternFill>
    </fill>
    <fill>
      <patternFill patternType="solid">
        <fgColor theme="4" tint="0.79998168889431442"/>
        <bgColor indexed="64"/>
      </patternFill>
    </fill>
    <fill>
      <patternFill patternType="solid">
        <fgColor rgb="FF002060"/>
        <bgColor indexed="64"/>
      </patternFill>
    </fill>
    <fill>
      <patternFill patternType="solid">
        <fgColor rgb="FF92D050"/>
        <bgColor indexed="64"/>
      </patternFill>
    </fill>
    <fill>
      <patternFill patternType="solid">
        <fgColor rgb="FFA9D08E"/>
        <bgColor rgb="FF000000"/>
      </patternFill>
    </fill>
  </fills>
  <borders count="2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style="medium">
        <color rgb="FF000000"/>
      </bottom>
      <diagonal/>
    </border>
    <border>
      <left/>
      <right/>
      <top style="medium">
        <color indexed="64"/>
      </top>
      <bottom style="medium">
        <color rgb="FF000000"/>
      </bottom>
      <diagonal/>
    </border>
    <border>
      <left style="thick">
        <color rgb="FF000000"/>
      </left>
      <right style="thin">
        <color indexed="64"/>
      </right>
      <top style="medium">
        <color indexed="64"/>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ck">
        <color rgb="FF000000"/>
      </left>
      <right style="thin">
        <color indexed="64"/>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thin">
        <color rgb="FF000000"/>
      </top>
      <bottom/>
      <diagonal/>
    </border>
    <border>
      <left style="medium">
        <color indexed="64"/>
      </left>
      <right style="thin">
        <color rgb="FF000000"/>
      </right>
      <top style="thin">
        <color rgb="FF000000"/>
      </top>
      <bottom/>
      <diagonal/>
    </border>
    <border>
      <left style="medium">
        <color indexed="64"/>
      </left>
      <right style="medium">
        <color indexed="64"/>
      </right>
      <top style="thin">
        <color rgb="FF000000"/>
      </top>
      <bottom/>
      <diagonal/>
    </border>
    <border>
      <left style="thin">
        <color rgb="FF000000"/>
      </left>
      <right style="thin">
        <color indexed="64"/>
      </right>
      <top style="medium">
        <color indexed="64"/>
      </top>
      <bottom/>
      <diagonal/>
    </border>
    <border>
      <left/>
      <right style="thin">
        <color rgb="FF000000"/>
      </right>
      <top style="thin">
        <color rgb="FF000000"/>
      </top>
      <bottom style="thin">
        <color rgb="FF000000"/>
      </bottom>
      <diagonal/>
    </border>
    <border>
      <left style="thick">
        <color rgb="FF000000"/>
      </left>
      <right style="thin">
        <color indexed="64"/>
      </right>
      <top style="medium">
        <color indexed="64"/>
      </top>
      <bottom/>
      <diagonal/>
    </border>
    <border>
      <left/>
      <right/>
      <top style="thin">
        <color indexed="64"/>
      </top>
      <bottom/>
      <diagonal/>
    </border>
    <border>
      <left/>
      <right style="thin">
        <color rgb="FF000000"/>
      </right>
      <top style="thin">
        <color rgb="FF000000"/>
      </top>
      <bottom/>
      <diagonal/>
    </border>
    <border>
      <left style="thick">
        <color rgb="FF000000"/>
      </left>
      <right style="thin">
        <color rgb="FF000000"/>
      </right>
      <top style="thin">
        <color rgb="FF000000"/>
      </top>
      <bottom/>
      <diagonal/>
    </border>
    <border>
      <left/>
      <right/>
      <top style="thick">
        <color rgb="FF000000"/>
      </top>
      <bottom/>
      <diagonal/>
    </border>
    <border>
      <left style="thin">
        <color rgb="FF000000"/>
      </left>
      <right style="thick">
        <color rgb="FF000000"/>
      </right>
      <top style="medium">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diagonal/>
    </border>
    <border>
      <left/>
      <right style="thin">
        <color rgb="FF000000"/>
      </right>
      <top style="medium">
        <color indexed="64"/>
      </top>
      <bottom style="medium">
        <color indexed="64"/>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thick">
        <color rgb="FF000000"/>
      </left>
      <right style="thin">
        <color indexed="64"/>
      </right>
      <top style="thin">
        <color rgb="FF000000"/>
      </top>
      <bottom/>
      <diagonal/>
    </border>
    <border>
      <left style="thick">
        <color rgb="FF000000"/>
      </left>
      <right style="medium">
        <color indexed="64"/>
      </right>
      <top style="medium">
        <color indexed="64"/>
      </top>
      <bottom style="medium">
        <color indexed="64"/>
      </bottom>
      <diagonal/>
    </border>
    <border>
      <left/>
      <right style="thin">
        <color rgb="FF000000"/>
      </right>
      <top/>
      <bottom style="medium">
        <color rgb="FF000000"/>
      </bottom>
      <diagonal/>
    </border>
    <border>
      <left style="medium">
        <color indexed="64"/>
      </left>
      <right style="thin">
        <color indexed="64"/>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indexed="64"/>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indexed="64"/>
      </left>
      <right style="medium">
        <color rgb="FF000000"/>
      </right>
      <top style="thin">
        <color rgb="FF000000"/>
      </top>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rgb="FF000000"/>
      </right>
      <top style="thin">
        <color rgb="FF000000"/>
      </top>
      <bottom style="medium">
        <color rgb="FF000000"/>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right style="thin">
        <color indexed="64"/>
      </right>
      <top/>
      <bottom style="medium">
        <color rgb="FF000000"/>
      </bottom>
      <diagonal/>
    </border>
    <border>
      <left style="thin">
        <color rgb="FF000000"/>
      </left>
      <right style="medium">
        <color indexed="64"/>
      </right>
      <top/>
      <bottom style="medium">
        <color rgb="FF000000"/>
      </bottom>
      <diagonal/>
    </border>
    <border>
      <left style="thin">
        <color indexed="64"/>
      </left>
      <right style="thick">
        <color rgb="FF000000"/>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thin">
        <color indexed="64"/>
      </left>
      <right/>
      <top style="medium">
        <color indexed="64"/>
      </top>
      <bottom/>
      <diagonal/>
    </border>
    <border>
      <left style="medium">
        <color indexed="64"/>
      </left>
      <right/>
      <top style="thin">
        <color indexed="64"/>
      </top>
      <bottom/>
      <diagonal/>
    </border>
    <border>
      <left/>
      <right/>
      <top style="thick">
        <color indexed="64"/>
      </top>
      <bottom/>
      <diagonal/>
    </border>
    <border>
      <left style="thin">
        <color rgb="FF000000"/>
      </left>
      <right style="thick">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ck">
        <color rgb="FF000000"/>
      </left>
      <right style="thin">
        <color rgb="FF000000"/>
      </right>
      <top style="medium">
        <color indexed="64"/>
      </top>
      <bottom style="thin">
        <color rgb="FF000000"/>
      </bottom>
      <diagonal/>
    </border>
    <border>
      <left style="medium">
        <color indexed="64"/>
      </left>
      <right style="medium">
        <color indexed="64"/>
      </right>
      <top style="medium">
        <color rgb="FF000000"/>
      </top>
      <bottom style="medium">
        <color indexed="64"/>
      </bottom>
      <diagonal/>
    </border>
    <border>
      <left style="thin">
        <color indexed="64"/>
      </left>
      <right style="thick">
        <color rgb="FF000000"/>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rgb="FF000000"/>
      </left>
      <right style="thick">
        <color indexed="64"/>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style="medium">
        <color indexed="64"/>
      </left>
      <right style="thin">
        <color indexed="64"/>
      </right>
      <top style="medium">
        <color indexed="64"/>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indexed="64"/>
      </right>
      <top/>
      <bottom style="thin">
        <color indexed="64"/>
      </bottom>
      <diagonal/>
    </border>
    <border>
      <left style="medium">
        <color rgb="FF000000"/>
      </left>
      <right style="thin">
        <color rgb="FF000000"/>
      </right>
      <top style="thin">
        <color indexed="64"/>
      </top>
      <bottom style="medium">
        <color rgb="FF000000"/>
      </bottom>
      <diagonal/>
    </border>
    <border>
      <left style="thin">
        <color rgb="FF000000"/>
      </left>
      <right style="medium">
        <color rgb="FF000000"/>
      </right>
      <top/>
      <bottom style="medium">
        <color rgb="FF000000"/>
      </bottom>
      <diagonal/>
    </border>
    <border>
      <left/>
      <right style="thin">
        <color indexed="64"/>
      </right>
      <top style="thin">
        <color indexed="64"/>
      </top>
      <bottom style="thick">
        <color indexed="64"/>
      </bottom>
      <diagonal/>
    </border>
    <border>
      <left style="thick">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rgb="FF000000"/>
      </right>
      <top style="medium">
        <color indexed="64"/>
      </top>
      <bottom/>
      <diagonal/>
    </border>
    <border>
      <left/>
      <right style="thin">
        <color rgb="FF000000"/>
      </right>
      <top style="thin">
        <color rgb="FF000000"/>
      </top>
      <bottom style="medium">
        <color indexed="64"/>
      </bottom>
      <diagonal/>
    </border>
    <border>
      <left style="medium">
        <color indexed="64"/>
      </left>
      <right style="medium">
        <color indexed="64"/>
      </right>
      <top/>
      <bottom style="medium">
        <color indexed="64"/>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00000"/>
      </right>
      <top style="thin">
        <color rgb="FF000000"/>
      </top>
      <bottom style="thin">
        <color rgb="FF9BC2E6"/>
      </bottom>
      <diagonal/>
    </border>
    <border>
      <left style="thin">
        <color rgb="FF000000"/>
      </left>
      <right style="thin">
        <color rgb="FF000000"/>
      </right>
      <top style="thin">
        <color rgb="FF000000"/>
      </top>
      <bottom style="thin">
        <color rgb="FF9BC2E6"/>
      </bottom>
      <diagonal/>
    </border>
    <border>
      <left/>
      <right style="thin">
        <color rgb="FF000000"/>
      </right>
      <top style="thin">
        <color rgb="FF000000"/>
      </top>
      <bottom style="medium">
        <color rgb="FF000000"/>
      </bottom>
      <diagonal/>
    </border>
    <border>
      <left/>
      <right style="medium">
        <color indexed="64"/>
      </right>
      <top/>
      <bottom style="thin">
        <color indexed="64"/>
      </bottom>
      <diagonal/>
    </border>
    <border>
      <left style="thin">
        <color rgb="FF000000"/>
      </left>
      <right style="thin">
        <color rgb="FF000000"/>
      </right>
      <top/>
      <bottom/>
      <diagonal/>
    </border>
    <border>
      <left style="medium">
        <color indexed="64"/>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s>
  <cellStyleXfs count="62">
    <xf numFmtId="0" fontId="0" fillId="0" borderId="0"/>
    <xf numFmtId="0" fontId="5" fillId="0" borderId="0"/>
    <xf numFmtId="0" fontId="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16" fillId="0" borderId="0"/>
    <xf numFmtId="0" fontId="5" fillId="0" borderId="0"/>
    <xf numFmtId="0" fontId="17" fillId="0" borderId="0"/>
    <xf numFmtId="0" fontId="17"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4"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16" fillId="0" borderId="0"/>
    <xf numFmtId="0" fontId="3" fillId="0" borderId="0"/>
    <xf numFmtId="0" fontId="6"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16"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43" fontId="16" fillId="0" borderId="0" applyFont="0" applyFill="0" applyBorder="0" applyAlignment="0" applyProtection="0"/>
    <xf numFmtId="0" fontId="1" fillId="0" borderId="0"/>
    <xf numFmtId="43" fontId="1" fillId="0" borderId="0" applyFont="0" applyFill="0" applyBorder="0" applyAlignment="0" applyProtection="0"/>
    <xf numFmtId="0" fontId="39" fillId="0" borderId="0"/>
    <xf numFmtId="44" fontId="39"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784">
    <xf numFmtId="0" fontId="0" fillId="0" borderId="0" xfId="0"/>
    <xf numFmtId="0" fontId="17" fillId="0" borderId="0" xfId="0" applyFont="1" applyAlignment="1">
      <alignment horizontal="left" vertical="center" wrapText="1"/>
    </xf>
    <xf numFmtId="0" fontId="8" fillId="0" borderId="0" xfId="1" applyFont="1" applyAlignment="1" applyProtection="1">
      <alignment horizontal="left" vertical="center" wrapText="1"/>
      <protection locked="0"/>
    </xf>
    <xf numFmtId="0" fontId="8" fillId="0" borderId="6" xfId="1" applyFont="1" applyBorder="1" applyAlignment="1" applyProtection="1">
      <alignment horizontal="left" vertical="center" wrapText="1"/>
      <protection locked="0"/>
    </xf>
    <xf numFmtId="0" fontId="19" fillId="0" borderId="0" xfId="1" applyFont="1" applyAlignment="1" applyProtection="1">
      <alignment horizontal="left" vertical="center"/>
      <protection locked="0"/>
    </xf>
    <xf numFmtId="0" fontId="10" fillId="0" borderId="0" xfId="1" applyFont="1" applyAlignment="1" applyProtection="1">
      <alignment horizontal="left" vertical="center"/>
      <protection locked="0"/>
    </xf>
    <xf numFmtId="0" fontId="11" fillId="0" borderId="0" xfId="1" applyFont="1" applyAlignment="1" applyProtection="1">
      <alignment horizontal="left" vertical="center"/>
      <protection locked="0"/>
    </xf>
    <xf numFmtId="0" fontId="10" fillId="0" borderId="0" xfId="1" applyFont="1" applyAlignment="1" applyProtection="1">
      <alignment horizontal="left" vertical="center" wrapText="1"/>
      <protection locked="0"/>
    </xf>
    <xf numFmtId="0" fontId="17" fillId="0" borderId="0" xfId="0" applyFont="1" applyAlignment="1">
      <alignment horizontal="left" vertical="center"/>
    </xf>
    <xf numFmtId="0" fontId="12" fillId="0" borderId="0" xfId="1" applyFont="1" applyAlignment="1" applyProtection="1">
      <alignment horizontal="left" vertical="center"/>
      <protection locked="0"/>
    </xf>
    <xf numFmtId="0" fontId="8" fillId="0" borderId="0" xfId="1" applyFont="1" applyAlignment="1" applyProtection="1">
      <alignment horizontal="left" vertical="center"/>
      <protection locked="0"/>
    </xf>
    <xf numFmtId="0" fontId="12" fillId="0" borderId="0" xfId="1" applyFont="1" applyAlignment="1" applyProtection="1">
      <alignment horizontal="left" vertical="center" wrapText="1"/>
      <protection locked="0"/>
    </xf>
    <xf numFmtId="0" fontId="11" fillId="0" borderId="0" xfId="1" applyFont="1" applyAlignment="1" applyProtection="1">
      <alignment horizontal="left" vertical="center" wrapText="1"/>
      <protection locked="0"/>
    </xf>
    <xf numFmtId="1" fontId="12" fillId="0" borderId="0" xfId="1" applyNumberFormat="1" applyFont="1" applyAlignment="1">
      <alignment horizontal="left" vertical="center" wrapText="1"/>
    </xf>
    <xf numFmtId="49" fontId="8" fillId="0" borderId="6" xfId="1" applyNumberFormat="1" applyFont="1" applyBorder="1" applyAlignment="1" applyProtection="1">
      <alignment horizontal="left" vertical="center" wrapText="1"/>
      <protection locked="0"/>
    </xf>
    <xf numFmtId="2" fontId="8" fillId="0" borderId="6" xfId="1" applyNumberFormat="1" applyFont="1" applyBorder="1" applyAlignment="1" applyProtection="1">
      <alignment horizontal="left" vertical="center" wrapText="1"/>
      <protection locked="0"/>
    </xf>
    <xf numFmtId="165" fontId="12" fillId="0" borderId="0" xfId="1" applyNumberFormat="1" applyFont="1" applyAlignment="1" applyProtection="1">
      <alignment horizontal="left" vertical="center"/>
      <protection locked="0"/>
    </xf>
    <xf numFmtId="0" fontId="10" fillId="0" borderId="6" xfId="1" applyFont="1" applyBorder="1" applyAlignment="1">
      <alignment horizontal="left" vertical="center" wrapText="1"/>
    </xf>
    <xf numFmtId="0" fontId="8" fillId="0" borderId="6" xfId="4" applyFont="1" applyBorder="1" applyAlignment="1" applyProtection="1">
      <alignment horizontal="left" vertical="center"/>
      <protection locked="0"/>
    </xf>
    <xf numFmtId="0" fontId="8" fillId="0" borderId="6" xfId="4" applyFont="1" applyBorder="1" applyAlignment="1">
      <alignment horizontal="left" vertical="center" wrapText="1"/>
    </xf>
    <xf numFmtId="2" fontId="12" fillId="0" borderId="0" xfId="1" applyNumberFormat="1" applyFont="1" applyAlignment="1" applyProtection="1">
      <alignment horizontal="left" vertical="center"/>
      <protection locked="0"/>
    </xf>
    <xf numFmtId="165" fontId="8" fillId="0" borderId="8" xfId="1" applyNumberFormat="1" applyFont="1" applyBorder="1" applyAlignment="1" applyProtection="1">
      <alignment horizontal="left" vertical="center" wrapText="1"/>
      <protection locked="0"/>
    </xf>
    <xf numFmtId="0" fontId="18" fillId="0" borderId="0" xfId="0" applyFont="1" applyAlignment="1">
      <alignment horizontal="left" vertical="center" wrapText="1"/>
    </xf>
    <xf numFmtId="1" fontId="8" fillId="0" borderId="0" xfId="1" applyNumberFormat="1" applyFont="1" applyAlignment="1" applyProtection="1">
      <alignment horizontal="left" vertical="center" wrapText="1"/>
      <protection locked="0"/>
    </xf>
    <xf numFmtId="2" fontId="8" fillId="0" borderId="0" xfId="1" applyNumberFormat="1" applyFont="1" applyAlignment="1" applyProtection="1">
      <alignment horizontal="left" vertical="center" wrapText="1"/>
      <protection locked="0"/>
    </xf>
    <xf numFmtId="0" fontId="8" fillId="0" borderId="23" xfId="1" applyFont="1" applyBorder="1" applyAlignment="1">
      <alignment horizontal="left" vertical="center" wrapText="1"/>
    </xf>
    <xf numFmtId="0" fontId="10" fillId="0" borderId="34" xfId="1" applyFont="1" applyBorder="1" applyAlignment="1">
      <alignment horizontal="left" vertical="center" wrapText="1"/>
    </xf>
    <xf numFmtId="0" fontId="8" fillId="0" borderId="15" xfId="1" applyFont="1" applyBorder="1" applyAlignment="1">
      <alignment horizontal="left" vertical="center" wrapText="1"/>
    </xf>
    <xf numFmtId="49" fontId="8" fillId="0" borderId="25" xfId="1" applyNumberFormat="1" applyFont="1" applyBorder="1" applyAlignment="1" applyProtection="1">
      <alignment horizontal="left" vertical="center" wrapText="1"/>
      <protection locked="0"/>
    </xf>
    <xf numFmtId="2" fontId="8" fillId="0" borderId="25" xfId="1" applyNumberFormat="1" applyFont="1" applyBorder="1" applyAlignment="1" applyProtection="1">
      <alignment horizontal="left" vertical="center" wrapText="1"/>
      <protection locked="0"/>
    </xf>
    <xf numFmtId="0" fontId="10" fillId="0" borderId="49" xfId="1" applyFont="1" applyBorder="1" applyAlignment="1">
      <alignment horizontal="left" vertical="center" wrapText="1"/>
    </xf>
    <xf numFmtId="49" fontId="8" fillId="0" borderId="10" xfId="1" applyNumberFormat="1" applyFont="1" applyBorder="1" applyAlignment="1" applyProtection="1">
      <alignment horizontal="left" vertical="center" wrapText="1"/>
      <protection locked="0"/>
    </xf>
    <xf numFmtId="2" fontId="8" fillId="0" borderId="10" xfId="1" applyNumberFormat="1" applyFont="1" applyBorder="1" applyAlignment="1" applyProtection="1">
      <alignment horizontal="left" vertical="center" wrapText="1"/>
      <protection locked="0"/>
    </xf>
    <xf numFmtId="2" fontId="8" fillId="0" borderId="10" xfId="1" applyNumberFormat="1" applyFont="1" applyBorder="1" applyAlignment="1" applyProtection="1">
      <alignment horizontal="left" vertical="center"/>
      <protection locked="0"/>
    </xf>
    <xf numFmtId="0" fontId="10" fillId="0" borderId="10" xfId="1" applyFont="1" applyBorder="1" applyAlignment="1">
      <alignment horizontal="left" vertical="center" wrapText="1"/>
    </xf>
    <xf numFmtId="165" fontId="8" fillId="0" borderId="0" xfId="1" applyNumberFormat="1" applyFont="1" applyAlignment="1" applyProtection="1">
      <alignment horizontal="left" vertical="center" wrapText="1"/>
      <protection locked="0"/>
    </xf>
    <xf numFmtId="49" fontId="8" fillId="0" borderId="0" xfId="1" applyNumberFormat="1" applyFont="1" applyAlignment="1" applyProtection="1">
      <alignment horizontal="left" vertical="center" wrapText="1"/>
      <protection locked="0"/>
    </xf>
    <xf numFmtId="0" fontId="8" fillId="0" borderId="0" xfId="4" applyFont="1" applyAlignment="1" applyProtection="1">
      <alignment horizontal="left" vertical="center"/>
      <protection locked="0"/>
    </xf>
    <xf numFmtId="0" fontId="8" fillId="0" borderId="0" xfId="5" applyFont="1" applyAlignment="1" applyProtection="1">
      <alignment horizontal="left" vertical="center"/>
      <protection locked="0"/>
    </xf>
    <xf numFmtId="2" fontId="8" fillId="0" borderId="0" xfId="6" applyNumberFormat="1" applyFont="1" applyAlignment="1">
      <alignment horizontal="left" vertical="center"/>
    </xf>
    <xf numFmtId="2" fontId="8" fillId="0" borderId="0" xfId="7" applyNumberFormat="1" applyFont="1" applyAlignment="1" applyProtection="1">
      <alignment horizontal="left" vertical="center"/>
      <protection locked="0"/>
    </xf>
    <xf numFmtId="0" fontId="8" fillId="0" borderId="34" xfId="1" applyFont="1" applyBorder="1" applyAlignment="1" applyProtection="1">
      <alignment horizontal="left" vertical="center" wrapText="1"/>
      <protection locked="0"/>
    </xf>
    <xf numFmtId="0" fontId="8" fillId="0" borderId="34" xfId="1" applyFont="1" applyBorder="1" applyAlignment="1" applyProtection="1">
      <alignment horizontal="left" vertical="center"/>
      <protection locked="0"/>
    </xf>
    <xf numFmtId="0" fontId="8" fillId="0" borderId="25" xfId="4" applyFont="1" applyBorder="1" applyAlignment="1" applyProtection="1">
      <alignment horizontal="left" vertical="center"/>
      <protection locked="0"/>
    </xf>
    <xf numFmtId="0" fontId="8" fillId="0" borderId="49" xfId="1" applyFont="1" applyBorder="1" applyAlignment="1" applyProtection="1">
      <alignment horizontal="left" vertical="center"/>
      <protection locked="0"/>
    </xf>
    <xf numFmtId="2" fontId="8" fillId="0" borderId="0" xfId="1" applyNumberFormat="1" applyFont="1" applyAlignment="1" applyProtection="1">
      <alignment horizontal="left" vertical="center"/>
      <protection locked="0"/>
    </xf>
    <xf numFmtId="165" fontId="8" fillId="0" borderId="31" xfId="1" applyNumberFormat="1" applyFont="1" applyBorder="1" applyAlignment="1" applyProtection="1">
      <alignment horizontal="left" vertical="center" wrapText="1"/>
      <protection locked="0"/>
    </xf>
    <xf numFmtId="0" fontId="17" fillId="0" borderId="25" xfId="0" applyFont="1" applyBorder="1" applyAlignment="1">
      <alignment horizontal="left" vertical="center"/>
    </xf>
    <xf numFmtId="0" fontId="17" fillId="0" borderId="49" xfId="0" applyFont="1" applyBorder="1" applyAlignment="1">
      <alignment horizontal="left" vertical="center"/>
    </xf>
    <xf numFmtId="1" fontId="10" fillId="0" borderId="9" xfId="1" applyNumberFormat="1" applyFont="1" applyBorder="1" applyAlignment="1" applyProtection="1">
      <alignment horizontal="left" vertical="center" wrapText="1"/>
      <protection locked="0"/>
    </xf>
    <xf numFmtId="1" fontId="10" fillId="0" borderId="10" xfId="1" applyNumberFormat="1" applyFont="1" applyBorder="1" applyAlignment="1" applyProtection="1">
      <alignment horizontal="left" vertical="center" wrapText="1"/>
      <protection locked="0"/>
    </xf>
    <xf numFmtId="0" fontId="8" fillId="14" borderId="6" xfId="10" applyFont="1" applyFill="1" applyBorder="1" applyAlignment="1" applyProtection="1">
      <alignment horizontal="left" vertical="center" wrapText="1" shrinkToFit="1"/>
      <protection locked="0"/>
    </xf>
    <xf numFmtId="0" fontId="8" fillId="14" borderId="27" xfId="10" applyFont="1" applyFill="1" applyBorder="1" applyAlignment="1" applyProtection="1">
      <alignment horizontal="left" vertical="center" wrapText="1" shrinkToFit="1"/>
      <protection locked="0"/>
    </xf>
    <xf numFmtId="0" fontId="17" fillId="15" borderId="21" xfId="0" applyFont="1" applyFill="1" applyBorder="1" applyAlignment="1">
      <alignment vertical="center" wrapText="1"/>
    </xf>
    <xf numFmtId="0" fontId="17" fillId="15" borderId="26" xfId="0" applyFont="1" applyFill="1" applyBorder="1" applyAlignment="1">
      <alignment vertical="center" wrapText="1"/>
    </xf>
    <xf numFmtId="165" fontId="8" fillId="14" borderId="18" xfId="1" applyNumberFormat="1" applyFont="1" applyFill="1" applyBorder="1" applyAlignment="1" applyProtection="1">
      <alignment horizontal="left" vertical="center" wrapText="1"/>
      <protection locked="0"/>
    </xf>
    <xf numFmtId="0" fontId="8" fillId="14" borderId="18" xfId="1" applyFont="1" applyFill="1" applyBorder="1" applyAlignment="1" applyProtection="1">
      <alignment horizontal="left" vertical="center" wrapText="1"/>
      <protection locked="0"/>
    </xf>
    <xf numFmtId="0" fontId="10" fillId="14" borderId="50" xfId="1" applyFont="1" applyFill="1" applyBorder="1" applyAlignment="1">
      <alignment horizontal="left" vertical="center" wrapText="1"/>
    </xf>
    <xf numFmtId="0" fontId="17" fillId="0" borderId="0" xfId="9" applyFont="1" applyAlignment="1">
      <alignment horizontal="left" vertical="center" wrapText="1"/>
    </xf>
    <xf numFmtId="49" fontId="8" fillId="14" borderId="6" xfId="10" applyNumberFormat="1" applyFont="1" applyFill="1" applyBorder="1" applyAlignment="1" applyProtection="1">
      <alignment horizontal="left" vertical="center" wrapText="1" shrinkToFit="1"/>
      <protection locked="0"/>
    </xf>
    <xf numFmtId="0" fontId="8" fillId="14" borderId="6" xfId="10" applyFont="1" applyFill="1" applyBorder="1" applyAlignment="1" applyProtection="1">
      <alignment horizontal="left" vertical="center" shrinkToFit="1"/>
      <protection locked="0"/>
    </xf>
    <xf numFmtId="49" fontId="8" fillId="14" borderId="27" xfId="10" applyNumberFormat="1" applyFont="1" applyFill="1" applyBorder="1" applyAlignment="1" applyProtection="1">
      <alignment horizontal="left" vertical="center" wrapText="1" shrinkToFit="1"/>
      <protection locked="0"/>
    </xf>
    <xf numFmtId="0" fontId="8" fillId="14" borderId="27" xfId="10" applyFont="1" applyFill="1" applyBorder="1" applyAlignment="1" applyProtection="1">
      <alignment horizontal="left" vertical="center" shrinkToFit="1"/>
      <protection locked="0"/>
    </xf>
    <xf numFmtId="49" fontId="8" fillId="0" borderId="0" xfId="10" applyNumberFormat="1" applyFont="1" applyAlignment="1" applyProtection="1">
      <alignment horizontal="left" vertical="center" wrapText="1" shrinkToFit="1"/>
      <protection locked="0"/>
    </xf>
    <xf numFmtId="2" fontId="17" fillId="0" borderId="0" xfId="9" applyNumberFormat="1" applyFont="1" applyAlignment="1">
      <alignment horizontal="left" vertical="center" wrapText="1"/>
    </xf>
    <xf numFmtId="49" fontId="8" fillId="0" borderId="9" xfId="1" applyNumberFormat="1" applyFont="1" applyBorder="1" applyAlignment="1" applyProtection="1">
      <alignment horizontal="left" vertical="center" wrapText="1"/>
      <protection locked="0"/>
    </xf>
    <xf numFmtId="0" fontId="8" fillId="0" borderId="0" xfId="1" applyFont="1" applyAlignment="1">
      <alignment horizontal="left" vertical="center" wrapText="1"/>
    </xf>
    <xf numFmtId="0" fontId="10" fillId="0" borderId="0" xfId="1" applyFont="1" applyAlignment="1">
      <alignment horizontal="left" vertical="center" wrapText="1"/>
    </xf>
    <xf numFmtId="0" fontId="17" fillId="0" borderId="0" xfId="0" applyFont="1" applyAlignment="1">
      <alignment vertical="center"/>
    </xf>
    <xf numFmtId="2" fontId="17" fillId="0" borderId="90" xfId="0" applyNumberFormat="1" applyFont="1" applyBorder="1" applyAlignment="1">
      <alignment horizontal="left" vertical="center" wrapText="1"/>
    </xf>
    <xf numFmtId="0" fontId="17" fillId="0" borderId="90" xfId="0" applyFont="1" applyBorder="1" applyAlignment="1">
      <alignment horizontal="left" vertical="center" wrapText="1"/>
    </xf>
    <xf numFmtId="0" fontId="23" fillId="20" borderId="35" xfId="0" applyFont="1" applyFill="1" applyBorder="1" applyAlignment="1">
      <alignment horizontal="left" vertical="center" wrapText="1"/>
    </xf>
    <xf numFmtId="0" fontId="17" fillId="18" borderId="35" xfId="0" applyFont="1" applyFill="1" applyBorder="1" applyAlignment="1">
      <alignment horizontal="left" vertical="center"/>
    </xf>
    <xf numFmtId="0" fontId="23" fillId="0" borderId="0" xfId="0" applyFont="1" applyAlignment="1">
      <alignment horizontal="left" vertical="center" wrapText="1"/>
    </xf>
    <xf numFmtId="0" fontId="17" fillId="0" borderId="10" xfId="0" applyFont="1" applyBorder="1" applyAlignment="1">
      <alignment horizontal="left" vertical="center" wrapText="1"/>
    </xf>
    <xf numFmtId="0" fontId="22" fillId="0" borderId="0" xfId="0" applyFont="1" applyAlignment="1">
      <alignment horizontal="left" vertical="center" wrapText="1"/>
    </xf>
    <xf numFmtId="0" fontId="8" fillId="0" borderId="0" xfId="0" applyFont="1" applyAlignment="1">
      <alignment horizontal="left" vertical="center" wrapText="1"/>
    </xf>
    <xf numFmtId="0" fontId="10" fillId="22" borderId="30" xfId="0" applyFont="1" applyFill="1" applyBorder="1" applyAlignment="1">
      <alignment horizontal="left" vertical="center" wrapText="1"/>
    </xf>
    <xf numFmtId="0" fontId="10" fillId="22" borderId="10" xfId="0" applyFont="1" applyFill="1" applyBorder="1" applyAlignment="1">
      <alignment horizontal="left" vertical="center" wrapText="1"/>
    </xf>
    <xf numFmtId="0" fontId="10" fillId="22" borderId="92" xfId="0" applyFont="1" applyFill="1" applyBorder="1" applyAlignment="1">
      <alignment horizontal="left" vertical="center" wrapText="1"/>
    </xf>
    <xf numFmtId="0" fontId="10" fillId="22" borderId="93" xfId="0" applyFont="1" applyFill="1" applyBorder="1" applyAlignment="1">
      <alignment horizontal="left" vertical="center" wrapText="1"/>
    </xf>
    <xf numFmtId="0" fontId="17" fillId="15" borderId="94" xfId="0" applyFont="1" applyFill="1" applyBorder="1" applyAlignment="1">
      <alignment horizontal="left" vertical="center" wrapText="1"/>
    </xf>
    <xf numFmtId="0" fontId="17" fillId="15" borderId="88" xfId="0" applyFont="1" applyFill="1" applyBorder="1" applyAlignment="1">
      <alignment horizontal="left" vertical="center"/>
    </xf>
    <xf numFmtId="0" fontId="17" fillId="0" borderId="95" xfId="0" applyFont="1" applyBorder="1" applyAlignment="1">
      <alignment horizontal="left" vertical="center" wrapText="1"/>
    </xf>
    <xf numFmtId="0" fontId="17" fillId="0" borderId="2" xfId="0" applyFont="1" applyBorder="1" applyAlignment="1">
      <alignment horizontal="left" vertical="center"/>
    </xf>
    <xf numFmtId="0" fontId="17" fillId="0" borderId="10" xfId="0" applyFont="1" applyBorder="1" applyAlignment="1">
      <alignment horizontal="left" vertical="center"/>
    </xf>
    <xf numFmtId="0" fontId="10" fillId="22" borderId="12" xfId="0" applyFont="1" applyFill="1" applyBorder="1" applyAlignment="1">
      <alignment horizontal="left" vertical="center" wrapText="1"/>
    </xf>
    <xf numFmtId="0" fontId="10" fillId="22" borderId="40" xfId="0" applyFont="1" applyFill="1" applyBorder="1" applyAlignment="1">
      <alignment horizontal="left" vertical="center" wrapText="1"/>
    </xf>
    <xf numFmtId="0" fontId="10" fillId="22" borderId="77" xfId="0" applyFont="1" applyFill="1" applyBorder="1" applyAlignment="1">
      <alignment horizontal="left" vertical="center" wrapText="1"/>
    </xf>
    <xf numFmtId="0" fontId="10" fillId="22" borderId="78" xfId="0" applyFont="1" applyFill="1" applyBorder="1" applyAlignment="1">
      <alignment horizontal="left" vertical="center" wrapText="1"/>
    </xf>
    <xf numFmtId="0" fontId="10" fillId="13" borderId="79" xfId="0" applyFont="1" applyFill="1" applyBorder="1" applyAlignment="1">
      <alignment horizontal="left" vertical="center" wrapText="1"/>
    </xf>
    <xf numFmtId="0" fontId="25" fillId="14" borderId="80" xfId="0" applyFont="1" applyFill="1" applyBorder="1" applyAlignment="1">
      <alignment horizontal="left" vertical="center" wrapText="1"/>
    </xf>
    <xf numFmtId="0" fontId="23" fillId="16" borderId="17" xfId="0" applyFont="1" applyFill="1" applyBorder="1" applyAlignment="1">
      <alignment horizontal="left" vertical="center" wrapText="1"/>
    </xf>
    <xf numFmtId="0" fontId="23" fillId="14" borderId="17" xfId="0" applyFont="1" applyFill="1" applyBorder="1" applyAlignment="1">
      <alignment horizontal="left" vertical="center" wrapText="1"/>
    </xf>
    <xf numFmtId="0" fontId="8" fillId="14" borderId="82" xfId="0" applyFont="1" applyFill="1" applyBorder="1" applyAlignment="1">
      <alignment horizontal="left" vertical="center" wrapText="1"/>
    </xf>
    <xf numFmtId="0" fontId="25" fillId="14" borderId="82" xfId="0" applyFont="1" applyFill="1" applyBorder="1" applyAlignment="1">
      <alignment horizontal="left" vertical="center" wrapText="1"/>
    </xf>
    <xf numFmtId="0" fontId="8" fillId="14" borderId="83" xfId="0" applyFont="1" applyFill="1" applyBorder="1" applyAlignment="1">
      <alignment horizontal="left" vertical="center" wrapText="1"/>
    </xf>
    <xf numFmtId="0" fontId="26" fillId="16" borderId="87" xfId="0" applyFont="1" applyFill="1" applyBorder="1" applyAlignment="1">
      <alignment horizontal="left" vertical="center" wrapText="1"/>
    </xf>
    <xf numFmtId="0" fontId="26" fillId="16" borderId="84" xfId="0" applyFont="1" applyFill="1" applyBorder="1" applyAlignment="1">
      <alignment horizontal="left" vertical="center" wrapText="1"/>
    </xf>
    <xf numFmtId="0" fontId="26" fillId="14" borderId="84" xfId="0" applyFont="1" applyFill="1" applyBorder="1" applyAlignment="1">
      <alignment horizontal="left" vertical="center" wrapText="1"/>
    </xf>
    <xf numFmtId="0" fontId="10" fillId="14" borderId="84" xfId="0" applyFont="1" applyFill="1" applyBorder="1" applyAlignment="1">
      <alignment horizontal="left" vertical="center" wrapText="1"/>
    </xf>
    <xf numFmtId="0" fontId="10" fillId="22" borderId="36" xfId="0" applyFont="1" applyFill="1" applyBorder="1" applyAlignment="1">
      <alignment horizontal="left" vertical="center" wrapText="1"/>
    </xf>
    <xf numFmtId="0" fontId="8" fillId="8" borderId="69" xfId="0" applyFont="1" applyFill="1" applyBorder="1" applyAlignment="1">
      <alignment horizontal="left" vertical="center" wrapText="1"/>
    </xf>
    <xf numFmtId="0" fontId="8" fillId="8" borderId="17" xfId="0" applyFont="1" applyFill="1" applyBorder="1" applyAlignment="1">
      <alignment horizontal="left" vertical="center"/>
    </xf>
    <xf numFmtId="0" fontId="8" fillId="17" borderId="7" xfId="0" applyFont="1" applyFill="1" applyBorder="1" applyAlignment="1">
      <alignment horizontal="left" vertical="center" wrapText="1"/>
    </xf>
    <xf numFmtId="0" fontId="8" fillId="17" borderId="17" xfId="0" applyFont="1" applyFill="1" applyBorder="1" applyAlignment="1">
      <alignment horizontal="left" vertical="center" wrapText="1"/>
    </xf>
    <xf numFmtId="0" fontId="8" fillId="17" borderId="69" xfId="0" applyFont="1" applyFill="1" applyBorder="1" applyAlignment="1">
      <alignment horizontal="left" vertical="center" wrapText="1"/>
    </xf>
    <xf numFmtId="0" fontId="8" fillId="17" borderId="17" xfId="0" applyFont="1" applyFill="1" applyBorder="1" applyAlignment="1">
      <alignment horizontal="left" vertical="center"/>
    </xf>
    <xf numFmtId="0" fontId="8" fillId="17" borderId="33" xfId="0" applyFont="1" applyFill="1" applyBorder="1" applyAlignment="1">
      <alignment horizontal="left" vertical="center" wrapText="1"/>
    </xf>
    <xf numFmtId="0" fontId="8" fillId="8" borderId="17" xfId="0" applyFont="1" applyFill="1" applyBorder="1" applyAlignment="1">
      <alignment horizontal="left" vertical="center" wrapText="1"/>
    </xf>
    <xf numFmtId="0" fontId="8" fillId="8" borderId="33" xfId="0" applyFont="1" applyFill="1" applyBorder="1" applyAlignment="1">
      <alignment horizontal="left" vertical="center" wrapText="1"/>
    </xf>
    <xf numFmtId="0" fontId="17" fillId="15" borderId="88" xfId="0" applyFont="1" applyFill="1" applyBorder="1" applyAlignment="1">
      <alignment horizontal="left" vertical="center" wrapText="1"/>
    </xf>
    <xf numFmtId="0" fontId="17" fillId="15" borderId="35" xfId="0" applyFont="1" applyFill="1" applyBorder="1" applyAlignment="1">
      <alignment horizontal="left" vertical="center" wrapText="1"/>
    </xf>
    <xf numFmtId="0" fontId="17" fillId="18" borderId="35" xfId="0" applyFont="1" applyFill="1" applyBorder="1" applyAlignment="1">
      <alignment horizontal="left" vertical="center" wrapText="1"/>
    </xf>
    <xf numFmtId="0" fontId="17" fillId="0" borderId="90" xfId="0" applyFont="1" applyBorder="1" applyAlignment="1">
      <alignment horizontal="left" vertical="center"/>
    </xf>
    <xf numFmtId="0" fontId="17" fillId="21" borderId="12" xfId="0" applyFont="1" applyFill="1" applyBorder="1" applyAlignment="1">
      <alignment horizontal="left" vertical="center" wrapText="1"/>
    </xf>
    <xf numFmtId="0" fontId="17" fillId="0" borderId="19" xfId="0" applyFont="1" applyBorder="1" applyAlignment="1">
      <alignment horizontal="left" vertical="center"/>
    </xf>
    <xf numFmtId="0" fontId="18" fillId="15" borderId="35" xfId="0" applyFont="1" applyFill="1" applyBorder="1" applyAlignment="1">
      <alignment horizontal="left" vertical="center" wrapText="1"/>
    </xf>
    <xf numFmtId="0" fontId="18" fillId="15" borderId="91" xfId="0" applyFont="1" applyFill="1" applyBorder="1" applyAlignment="1">
      <alignment horizontal="left" vertical="center" wrapText="1"/>
    </xf>
    <xf numFmtId="0" fontId="18" fillId="15" borderId="90" xfId="0" applyFont="1" applyFill="1" applyBorder="1" applyAlignment="1">
      <alignment horizontal="left" vertical="center" wrapText="1"/>
    </xf>
    <xf numFmtId="0" fontId="18" fillId="15" borderId="89" xfId="0" applyFont="1" applyFill="1" applyBorder="1" applyAlignment="1">
      <alignment horizontal="left" vertical="center"/>
    </xf>
    <xf numFmtId="0" fontId="18" fillId="15" borderId="90" xfId="0" applyFont="1" applyFill="1" applyBorder="1" applyAlignment="1">
      <alignment horizontal="left" vertical="center"/>
    </xf>
    <xf numFmtId="0" fontId="23" fillId="14" borderId="100" xfId="0" applyFont="1" applyFill="1" applyBorder="1" applyAlignment="1">
      <alignment horizontal="left" vertical="center" wrapText="1"/>
    </xf>
    <xf numFmtId="0" fontId="8" fillId="14" borderId="45" xfId="0" applyFont="1" applyFill="1" applyBorder="1" applyAlignment="1">
      <alignment horizontal="left" vertical="center" wrapText="1"/>
    </xf>
    <xf numFmtId="0" fontId="8" fillId="14" borderId="81" xfId="0" applyFont="1" applyFill="1" applyBorder="1" applyAlignment="1">
      <alignment horizontal="left" vertical="center" wrapText="1"/>
    </xf>
    <xf numFmtId="0" fontId="23" fillId="14" borderId="96" xfId="0" applyFont="1" applyFill="1" applyBorder="1" applyAlignment="1">
      <alignment horizontal="left" vertical="center" wrapText="1"/>
    </xf>
    <xf numFmtId="0" fontId="8" fillId="14" borderId="46" xfId="0" applyFont="1" applyFill="1" applyBorder="1" applyAlignment="1">
      <alignment horizontal="left" vertical="center" wrapText="1"/>
    </xf>
    <xf numFmtId="0" fontId="8" fillId="14" borderId="74" xfId="0" applyFont="1" applyFill="1" applyBorder="1" applyAlignment="1">
      <alignment horizontal="left" vertical="center" wrapText="1"/>
    </xf>
    <xf numFmtId="0" fontId="23" fillId="14" borderId="97" xfId="0" applyFont="1" applyFill="1" applyBorder="1" applyAlignment="1">
      <alignment horizontal="left" vertical="center" wrapText="1"/>
    </xf>
    <xf numFmtId="0" fontId="8" fillId="14" borderId="98" xfId="0" applyFont="1" applyFill="1" applyBorder="1" applyAlignment="1">
      <alignment horizontal="left" vertical="center" wrapText="1"/>
    </xf>
    <xf numFmtId="0" fontId="8" fillId="14" borderId="76" xfId="0" applyFont="1" applyFill="1" applyBorder="1" applyAlignment="1">
      <alignment horizontal="left" vertical="center" wrapText="1"/>
    </xf>
    <xf numFmtId="0" fontId="18" fillId="15" borderId="88" xfId="0" applyFont="1" applyFill="1" applyBorder="1" applyAlignment="1">
      <alignment horizontal="left" vertical="center"/>
    </xf>
    <xf numFmtId="0" fontId="18" fillId="15" borderId="39" xfId="0" applyFont="1" applyFill="1" applyBorder="1" applyAlignment="1">
      <alignment horizontal="left" vertical="center"/>
    </xf>
    <xf numFmtId="0" fontId="27" fillId="7" borderId="0" xfId="2" applyFont="1" applyFill="1" applyBorder="1" applyAlignment="1" applyProtection="1">
      <alignment vertical="center"/>
    </xf>
    <xf numFmtId="0" fontId="8" fillId="7" borderId="0" xfId="1" applyFont="1" applyFill="1" applyAlignment="1">
      <alignment vertical="center"/>
    </xf>
    <xf numFmtId="0" fontId="8" fillId="0" borderId="104" xfId="1" applyFont="1" applyBorder="1" applyAlignment="1">
      <alignment vertical="center"/>
    </xf>
    <xf numFmtId="0" fontId="7" fillId="0" borderId="104" xfId="1" applyFont="1" applyBorder="1" applyAlignment="1">
      <alignment vertical="center"/>
    </xf>
    <xf numFmtId="0" fontId="8" fillId="0" borderId="0" xfId="1" applyFont="1" applyAlignment="1">
      <alignment vertical="center"/>
    </xf>
    <xf numFmtId="0" fontId="27" fillId="0" borderId="0" xfId="2" applyFont="1" applyFill="1" applyBorder="1" applyAlignment="1" applyProtection="1">
      <alignment vertical="center"/>
    </xf>
    <xf numFmtId="0" fontId="8" fillId="0" borderId="0" xfId="1" applyFont="1" applyAlignment="1">
      <alignment vertical="center" wrapText="1"/>
    </xf>
    <xf numFmtId="0" fontId="32" fillId="0" borderId="0" xfId="0" applyFont="1" applyAlignment="1">
      <alignment vertical="center"/>
    </xf>
    <xf numFmtId="0" fontId="10" fillId="0" borderId="0" xfId="1" applyFont="1" applyAlignment="1">
      <alignment vertical="center"/>
    </xf>
    <xf numFmtId="17" fontId="8" fillId="0" borderId="0" xfId="1" applyNumberFormat="1" applyFont="1" applyAlignment="1">
      <alignment horizontal="left" vertical="center"/>
    </xf>
    <xf numFmtId="0" fontId="28" fillId="0" borderId="0" xfId="1" applyFont="1" applyAlignment="1">
      <alignment vertical="center"/>
    </xf>
    <xf numFmtId="0" fontId="20" fillId="0" borderId="0" xfId="3" applyFont="1" applyAlignment="1">
      <alignment vertical="center"/>
    </xf>
    <xf numFmtId="0" fontId="8" fillId="0" borderId="4" xfId="1" applyFont="1" applyBorder="1" applyAlignment="1">
      <alignment vertical="center"/>
    </xf>
    <xf numFmtId="0" fontId="31" fillId="0" borderId="4" xfId="1" applyFont="1" applyBorder="1" applyAlignment="1">
      <alignment vertical="center"/>
    </xf>
    <xf numFmtId="2" fontId="17" fillId="0" borderId="50" xfId="0" applyNumberFormat="1" applyFont="1" applyBorder="1" applyAlignment="1">
      <alignment horizontal="left" vertical="center" wrapText="1"/>
    </xf>
    <xf numFmtId="0" fontId="23" fillId="0" borderId="10" xfId="0" applyFont="1" applyBorder="1" applyAlignment="1">
      <alignment horizontal="left" vertical="center" wrapText="1"/>
    </xf>
    <xf numFmtId="0" fontId="8" fillId="0" borderId="10" xfId="0" applyFont="1" applyBorder="1" applyAlignment="1">
      <alignment horizontal="left" vertical="center" wrapText="1"/>
    </xf>
    <xf numFmtId="0" fontId="8" fillId="0" borderId="9" xfId="0" applyFont="1" applyBorder="1" applyAlignment="1">
      <alignment horizontal="left" vertical="center" wrapText="1"/>
    </xf>
    <xf numFmtId="0" fontId="31" fillId="15" borderId="1" xfId="1" applyFont="1" applyFill="1" applyBorder="1" applyAlignment="1">
      <alignment vertical="center"/>
    </xf>
    <xf numFmtId="0" fontId="31" fillId="15" borderId="2" xfId="1" applyFont="1" applyFill="1" applyBorder="1" applyAlignment="1">
      <alignment vertical="center"/>
    </xf>
    <xf numFmtId="0" fontId="31" fillId="15" borderId="3" xfId="1" applyFont="1" applyFill="1" applyBorder="1" applyAlignment="1">
      <alignment vertical="center"/>
    </xf>
    <xf numFmtId="0" fontId="31" fillId="15" borderId="4" xfId="1" applyFont="1" applyFill="1" applyBorder="1" applyAlignment="1">
      <alignment vertical="center"/>
    </xf>
    <xf numFmtId="0" fontId="31" fillId="15" borderId="5" xfId="1" applyFont="1" applyFill="1" applyBorder="1" applyAlignment="1">
      <alignment vertical="center"/>
    </xf>
    <xf numFmtId="0" fontId="31" fillId="15" borderId="4" xfId="1" applyFont="1" applyFill="1" applyBorder="1" applyAlignment="1">
      <alignment horizontal="center" vertical="center"/>
    </xf>
    <xf numFmtId="0" fontId="17" fillId="15" borderId="4" xfId="0" applyFont="1" applyFill="1" applyBorder="1" applyAlignment="1">
      <alignment vertical="center"/>
    </xf>
    <xf numFmtId="0" fontId="8" fillId="15" borderId="9" xfId="1" applyFont="1" applyFill="1" applyBorder="1" applyAlignment="1">
      <alignment vertical="center"/>
    </xf>
    <xf numFmtId="0" fontId="10" fillId="15" borderId="10" xfId="1" applyFont="1" applyFill="1" applyBorder="1" applyAlignment="1">
      <alignment vertical="center"/>
    </xf>
    <xf numFmtId="17" fontId="8" fillId="15" borderId="10" xfId="1" applyNumberFormat="1" applyFont="1" applyFill="1" applyBorder="1" applyAlignment="1">
      <alignment horizontal="left" vertical="center"/>
    </xf>
    <xf numFmtId="0" fontId="27" fillId="15" borderId="10" xfId="2" applyFont="1" applyFill="1" applyBorder="1" applyAlignment="1" applyProtection="1">
      <alignment vertical="center"/>
    </xf>
    <xf numFmtId="0" fontId="8" fillId="15" borderId="10" xfId="1" applyFont="1" applyFill="1" applyBorder="1" applyAlignment="1">
      <alignment vertical="center" wrapText="1"/>
    </xf>
    <xf numFmtId="0" fontId="8" fillId="15" borderId="10" xfId="1" applyFont="1" applyFill="1" applyBorder="1" applyAlignment="1">
      <alignment vertical="center"/>
    </xf>
    <xf numFmtId="0" fontId="8" fillId="15" borderId="11" xfId="1" applyFont="1" applyFill="1" applyBorder="1" applyAlignment="1">
      <alignment vertical="center"/>
    </xf>
    <xf numFmtId="0" fontId="10" fillId="15" borderId="2" xfId="1" applyFont="1" applyFill="1" applyBorder="1" applyAlignment="1">
      <alignment vertical="center"/>
    </xf>
    <xf numFmtId="17" fontId="8" fillId="15" borderId="2" xfId="1" applyNumberFormat="1" applyFont="1" applyFill="1" applyBorder="1" applyAlignment="1">
      <alignment horizontal="left" vertical="center"/>
    </xf>
    <xf numFmtId="0" fontId="27" fillId="15" borderId="2" xfId="2" applyFont="1" applyFill="1" applyBorder="1" applyAlignment="1" applyProtection="1">
      <alignment vertical="center"/>
    </xf>
    <xf numFmtId="0" fontId="8" fillId="15" borderId="2" xfId="1" applyFont="1" applyFill="1" applyBorder="1" applyAlignment="1">
      <alignment vertical="center" wrapText="1"/>
    </xf>
    <xf numFmtId="0" fontId="8" fillId="15" borderId="2" xfId="1" applyFont="1" applyFill="1" applyBorder="1" applyAlignment="1">
      <alignment vertical="center"/>
    </xf>
    <xf numFmtId="0" fontId="8" fillId="15" borderId="3" xfId="1" applyFont="1" applyFill="1" applyBorder="1" applyAlignment="1">
      <alignment vertical="center"/>
    </xf>
    <xf numFmtId="0" fontId="10" fillId="15" borderId="0" xfId="1" applyFont="1" applyFill="1" applyAlignment="1">
      <alignment vertical="center"/>
    </xf>
    <xf numFmtId="17" fontId="8" fillId="15" borderId="0" xfId="1" applyNumberFormat="1" applyFont="1" applyFill="1" applyAlignment="1">
      <alignment horizontal="left" vertical="center"/>
    </xf>
    <xf numFmtId="0" fontId="27" fillId="15" borderId="0" xfId="2" applyFont="1" applyFill="1" applyBorder="1" applyAlignment="1" applyProtection="1">
      <alignment vertical="center"/>
    </xf>
    <xf numFmtId="0" fontId="8" fillId="15" borderId="0" xfId="1" applyFont="1" applyFill="1" applyAlignment="1">
      <alignment vertical="center" wrapText="1"/>
    </xf>
    <xf numFmtId="0" fontId="8" fillId="15" borderId="0" xfId="1" applyFont="1" applyFill="1" applyAlignment="1">
      <alignment vertical="center"/>
    </xf>
    <xf numFmtId="0" fontId="8" fillId="15" borderId="5" xfId="1" applyFont="1" applyFill="1" applyBorder="1" applyAlignment="1">
      <alignment vertical="center"/>
    </xf>
    <xf numFmtId="0" fontId="17" fillId="15" borderId="5" xfId="0" applyFont="1" applyFill="1" applyBorder="1" applyAlignment="1">
      <alignment vertical="center"/>
    </xf>
    <xf numFmtId="0" fontId="8" fillId="15" borderId="19" xfId="1" applyFont="1" applyFill="1" applyBorder="1" applyAlignment="1">
      <alignment horizontal="left" vertical="center"/>
    </xf>
    <xf numFmtId="17" fontId="8" fillId="15" borderId="19" xfId="1" applyNumberFormat="1" applyFont="1" applyFill="1" applyBorder="1" applyAlignment="1">
      <alignment horizontal="left" vertical="center"/>
    </xf>
    <xf numFmtId="0" fontId="8" fillId="15" borderId="10" xfId="1" applyFont="1" applyFill="1" applyBorder="1" applyAlignment="1">
      <alignment horizontal="center" vertical="center" wrapText="1"/>
    </xf>
    <xf numFmtId="0" fontId="8" fillId="15" borderId="10" xfId="1" applyFont="1" applyFill="1" applyBorder="1" applyAlignment="1">
      <alignment horizontal="left" vertical="center" wrapText="1"/>
    </xf>
    <xf numFmtId="0" fontId="8" fillId="15" borderId="1" xfId="1" applyFont="1" applyFill="1" applyBorder="1" applyAlignment="1">
      <alignment vertical="center"/>
    </xf>
    <xf numFmtId="0" fontId="7" fillId="15" borderId="4" xfId="1" applyFont="1" applyFill="1" applyBorder="1" applyAlignment="1">
      <alignment vertical="center"/>
    </xf>
    <xf numFmtId="0" fontId="7" fillId="15" borderId="0" xfId="1" applyFont="1" applyFill="1" applyAlignment="1">
      <alignment vertical="center"/>
    </xf>
    <xf numFmtId="0" fontId="7" fillId="15" borderId="5" xfId="1" applyFont="1" applyFill="1" applyBorder="1" applyAlignment="1">
      <alignment vertical="center"/>
    </xf>
    <xf numFmtId="0" fontId="8" fillId="15" borderId="4" xfId="1" applyFont="1" applyFill="1" applyBorder="1" applyAlignment="1">
      <alignment vertical="center"/>
    </xf>
    <xf numFmtId="0" fontId="10" fillId="15" borderId="4" xfId="1" applyFont="1" applyFill="1" applyBorder="1" applyAlignment="1">
      <alignment vertical="center" wrapText="1"/>
    </xf>
    <xf numFmtId="0" fontId="10" fillId="15" borderId="12" xfId="1" applyFont="1" applyFill="1" applyBorder="1" applyAlignment="1">
      <alignment vertical="center"/>
    </xf>
    <xf numFmtId="0" fontId="28" fillId="15" borderId="0" xfId="1" applyFont="1" applyFill="1" applyAlignment="1">
      <alignment vertical="center"/>
    </xf>
    <xf numFmtId="0" fontId="17" fillId="15" borderId="10" xfId="0" applyFont="1" applyFill="1" applyBorder="1" applyAlignment="1">
      <alignment vertical="center"/>
    </xf>
    <xf numFmtId="0" fontId="33" fillId="15" borderId="0" xfId="2" applyFont="1" applyFill="1" applyBorder="1" applyAlignment="1" applyProtection="1">
      <alignment vertical="center"/>
    </xf>
    <xf numFmtId="0" fontId="10" fillId="15" borderId="1" xfId="1" applyFont="1" applyFill="1" applyBorder="1" applyAlignment="1">
      <alignment vertical="center" wrapText="1"/>
    </xf>
    <xf numFmtId="0" fontId="8" fillId="15" borderId="0" xfId="1" applyFont="1" applyFill="1" applyAlignment="1">
      <alignment horizontal="left" vertical="center"/>
    </xf>
    <xf numFmtId="0" fontId="8" fillId="15" borderId="0" xfId="1" applyFont="1" applyFill="1" applyAlignment="1">
      <alignment horizontal="left" vertical="center" wrapText="1"/>
    </xf>
    <xf numFmtId="0" fontId="17" fillId="0" borderId="94" xfId="0" applyFont="1" applyBorder="1" applyAlignment="1">
      <alignment vertical="center"/>
    </xf>
    <xf numFmtId="0" fontId="17" fillId="0" borderId="105" xfId="0" applyFont="1" applyBorder="1" applyAlignment="1">
      <alignment vertical="center"/>
    </xf>
    <xf numFmtId="0" fontId="17" fillId="0" borderId="33" xfId="0" applyFont="1" applyBorder="1" applyAlignment="1">
      <alignment vertical="center"/>
    </xf>
    <xf numFmtId="0" fontId="17" fillId="15" borderId="2" xfId="0" applyFont="1" applyFill="1" applyBorder="1" applyAlignment="1">
      <alignment vertical="center"/>
    </xf>
    <xf numFmtId="0" fontId="17" fillId="15" borderId="3" xfId="0" applyFont="1" applyFill="1" applyBorder="1" applyAlignment="1">
      <alignment vertical="center"/>
    </xf>
    <xf numFmtId="0" fontId="17" fillId="15" borderId="0" xfId="0" applyFont="1" applyFill="1" applyAlignment="1">
      <alignment vertical="center"/>
    </xf>
    <xf numFmtId="0" fontId="18" fillId="15" borderId="39" xfId="0" applyFont="1" applyFill="1" applyBorder="1" applyAlignment="1">
      <alignment vertical="center"/>
    </xf>
    <xf numFmtId="0" fontId="18" fillId="15" borderId="35" xfId="0" applyFont="1" applyFill="1" applyBorder="1" applyAlignment="1">
      <alignment vertical="center"/>
    </xf>
    <xf numFmtId="0" fontId="17" fillId="15" borderId="9" xfId="0" applyFont="1" applyFill="1" applyBorder="1" applyAlignment="1">
      <alignment vertical="center"/>
    </xf>
    <xf numFmtId="0" fontId="17" fillId="15" borderId="11" xfId="0" applyFont="1" applyFill="1" applyBorder="1" applyAlignment="1">
      <alignment vertical="center"/>
    </xf>
    <xf numFmtId="0" fontId="28" fillId="15" borderId="4" xfId="1" applyFont="1" applyFill="1" applyBorder="1" applyAlignment="1">
      <alignment vertical="center"/>
    </xf>
    <xf numFmtId="0" fontId="10" fillId="24" borderId="20" xfId="1" applyFont="1" applyFill="1" applyBorder="1" applyAlignment="1" applyProtection="1">
      <alignment horizontal="left" vertical="center" wrapText="1"/>
      <protection locked="0"/>
    </xf>
    <xf numFmtId="0" fontId="10" fillId="24" borderId="37" xfId="1" applyFont="1" applyFill="1" applyBorder="1" applyAlignment="1" applyProtection="1">
      <alignment horizontal="left" vertical="center"/>
      <protection locked="0"/>
    </xf>
    <xf numFmtId="0" fontId="23" fillId="14" borderId="109" xfId="0" applyFont="1" applyFill="1" applyBorder="1" applyAlignment="1">
      <alignment horizontal="left" vertical="center" wrapText="1"/>
    </xf>
    <xf numFmtId="0" fontId="8" fillId="14" borderId="73" xfId="0" applyFont="1" applyFill="1" applyBorder="1" applyAlignment="1">
      <alignment horizontal="left" vertical="center" wrapText="1"/>
    </xf>
    <xf numFmtId="0" fontId="10" fillId="22" borderId="55" xfId="0" applyFont="1" applyFill="1" applyBorder="1" applyAlignment="1">
      <alignment horizontal="left" vertical="center" wrapText="1"/>
    </xf>
    <xf numFmtId="0" fontId="10" fillId="22" borderId="112" xfId="0" applyFont="1" applyFill="1" applyBorder="1" applyAlignment="1">
      <alignment horizontal="left" vertical="center" wrapText="1"/>
    </xf>
    <xf numFmtId="0" fontId="8" fillId="17" borderId="113" xfId="0" applyFont="1" applyFill="1" applyBorder="1" applyAlignment="1">
      <alignment horizontal="left" vertical="center" wrapText="1"/>
    </xf>
    <xf numFmtId="0" fontId="8" fillId="8" borderId="113" xfId="0" applyFont="1" applyFill="1" applyBorder="1" applyAlignment="1">
      <alignment horizontal="left" vertical="center" wrapText="1"/>
    </xf>
    <xf numFmtId="0" fontId="10" fillId="22" borderId="2" xfId="0" applyFont="1" applyFill="1" applyBorder="1" applyAlignment="1">
      <alignment horizontal="left" vertical="center" wrapText="1"/>
    </xf>
    <xf numFmtId="0" fontId="10" fillId="22" borderId="3" xfId="0" applyFont="1" applyFill="1" applyBorder="1" applyAlignment="1">
      <alignment horizontal="left" vertical="center" wrapText="1"/>
    </xf>
    <xf numFmtId="0" fontId="10" fillId="13" borderId="114" xfId="0" applyFont="1" applyFill="1" applyBorder="1" applyAlignment="1">
      <alignment horizontal="left" vertical="center" wrapText="1"/>
    </xf>
    <xf numFmtId="2" fontId="8" fillId="10" borderId="7" xfId="0" applyNumberFormat="1" applyFont="1" applyFill="1" applyBorder="1" applyAlignment="1">
      <alignment vertical="center" wrapText="1"/>
    </xf>
    <xf numFmtId="2" fontId="8" fillId="10" borderId="41" xfId="0" applyNumberFormat="1" applyFont="1" applyFill="1" applyBorder="1" applyAlignment="1">
      <alignment vertical="center" wrapText="1"/>
    </xf>
    <xf numFmtId="0" fontId="8" fillId="17" borderId="115" xfId="0" applyFont="1" applyFill="1" applyBorder="1" applyAlignment="1">
      <alignment horizontal="left" vertical="center" wrapText="1"/>
    </xf>
    <xf numFmtId="0" fontId="8" fillId="17" borderId="116" xfId="0" applyFont="1" applyFill="1" applyBorder="1" applyAlignment="1">
      <alignment horizontal="left" vertical="center" wrapText="1"/>
    </xf>
    <xf numFmtId="0" fontId="8" fillId="17" borderId="16" xfId="0" applyFont="1" applyFill="1" applyBorder="1" applyAlignment="1">
      <alignment horizontal="left" vertical="center" wrapText="1"/>
    </xf>
    <xf numFmtId="0" fontId="17" fillId="0" borderId="118" xfId="0" applyFont="1" applyBorder="1" applyAlignment="1">
      <alignment horizontal="left" vertical="center"/>
    </xf>
    <xf numFmtId="0" fontId="8" fillId="17" borderId="67" xfId="0" applyFont="1" applyFill="1" applyBorder="1" applyAlignment="1">
      <alignment horizontal="left" vertical="center" wrapText="1"/>
    </xf>
    <xf numFmtId="0" fontId="8" fillId="17" borderId="16" xfId="0" applyFont="1" applyFill="1" applyBorder="1" applyAlignment="1">
      <alignment horizontal="left" vertical="center"/>
    </xf>
    <xf numFmtId="0" fontId="8" fillId="17" borderId="115" xfId="0" applyFont="1" applyFill="1" applyBorder="1" applyAlignment="1">
      <alignment horizontal="left" vertical="center"/>
    </xf>
    <xf numFmtId="2" fontId="8" fillId="6" borderId="41" xfId="0" applyNumberFormat="1" applyFont="1" applyFill="1" applyBorder="1" applyAlignment="1">
      <alignment vertical="center" wrapText="1"/>
    </xf>
    <xf numFmtId="2" fontId="8" fillId="6" borderId="46" xfId="0" applyNumberFormat="1" applyFont="1" applyFill="1" applyBorder="1" applyAlignment="1">
      <alignment vertical="center" wrapText="1"/>
    </xf>
    <xf numFmtId="2" fontId="8" fillId="6" borderId="14" xfId="0" applyNumberFormat="1" applyFont="1" applyFill="1" applyBorder="1" applyAlignment="1">
      <alignment vertical="center" wrapText="1"/>
    </xf>
    <xf numFmtId="2" fontId="8" fillId="6" borderId="17" xfId="0" applyNumberFormat="1" applyFont="1" applyFill="1" applyBorder="1" applyAlignment="1">
      <alignment vertical="center" wrapText="1"/>
    </xf>
    <xf numFmtId="2" fontId="8" fillId="6" borderId="7" xfId="0" applyNumberFormat="1" applyFont="1" applyFill="1" applyBorder="1" applyAlignment="1">
      <alignment vertical="center" wrapText="1"/>
    </xf>
    <xf numFmtId="2" fontId="8" fillId="12" borderId="44" xfId="0" applyNumberFormat="1" applyFont="1" applyFill="1" applyBorder="1" applyAlignment="1">
      <alignment vertical="center" wrapText="1"/>
    </xf>
    <xf numFmtId="2" fontId="8" fillId="0" borderId="119" xfId="0" applyNumberFormat="1" applyFont="1" applyBorder="1" applyAlignment="1">
      <alignment vertical="center" wrapText="1"/>
    </xf>
    <xf numFmtId="2" fontId="8" fillId="0" borderId="120" xfId="0" applyNumberFormat="1" applyFont="1" applyBorder="1" applyAlignment="1">
      <alignment vertical="center" wrapText="1"/>
    </xf>
    <xf numFmtId="2" fontId="8" fillId="10" borderId="121" xfId="0" applyNumberFormat="1" applyFont="1" applyFill="1" applyBorder="1" applyAlignment="1">
      <alignment vertical="center" wrapText="1"/>
    </xf>
    <xf numFmtId="2" fontId="8" fillId="6" borderId="120" xfId="0" applyNumberFormat="1" applyFont="1" applyFill="1" applyBorder="1" applyAlignment="1">
      <alignment vertical="center" wrapText="1"/>
    </xf>
    <xf numFmtId="0" fontId="18" fillId="0" borderId="0" xfId="11" applyFont="1"/>
    <xf numFmtId="0" fontId="8" fillId="14" borderId="14" xfId="10" applyFont="1" applyFill="1" applyBorder="1" applyAlignment="1" applyProtection="1">
      <alignment horizontal="left" vertical="center" wrapText="1" shrinkToFit="1"/>
      <protection locked="0"/>
    </xf>
    <xf numFmtId="49" fontId="8" fillId="14" borderId="14" xfId="10" applyNumberFormat="1" applyFont="1" applyFill="1" applyBorder="1" applyAlignment="1" applyProtection="1">
      <alignment horizontal="left" vertical="center" wrapText="1" shrinkToFit="1"/>
      <protection locked="0"/>
    </xf>
    <xf numFmtId="0" fontId="8" fillId="14" borderId="8" xfId="10" applyFont="1" applyFill="1" applyBorder="1" applyAlignment="1">
      <alignment horizontal="left" vertical="center" shrinkToFit="1"/>
    </xf>
    <xf numFmtId="49" fontId="8" fillId="14" borderId="8" xfId="10" applyNumberFormat="1" applyFont="1" applyFill="1" applyBorder="1" applyAlignment="1" applyProtection="1">
      <alignment horizontal="left" vertical="center" shrinkToFit="1"/>
      <protection locked="0"/>
    </xf>
    <xf numFmtId="49" fontId="8" fillId="14" borderId="26" xfId="10" applyNumberFormat="1" applyFont="1" applyFill="1" applyBorder="1" applyAlignment="1" applyProtection="1">
      <alignment horizontal="left" vertical="center" shrinkToFit="1"/>
      <protection locked="0"/>
    </xf>
    <xf numFmtId="49" fontId="8" fillId="0" borderId="0" xfId="10" applyNumberFormat="1" applyFont="1" applyAlignment="1" applyProtection="1">
      <alignment horizontal="left" vertical="center" shrinkToFit="1"/>
      <protection locked="0"/>
    </xf>
    <xf numFmtId="0" fontId="8" fillId="0" borderId="0" xfId="10" applyFont="1" applyAlignment="1" applyProtection="1">
      <alignment horizontal="left" vertical="center" wrapText="1" shrinkToFit="1"/>
      <protection locked="0"/>
    </xf>
    <xf numFmtId="0" fontId="8" fillId="0" borderId="0" xfId="10" applyFont="1" applyAlignment="1" applyProtection="1">
      <alignment horizontal="left" vertical="center" shrinkToFit="1"/>
      <protection locked="0"/>
    </xf>
    <xf numFmtId="1" fontId="8" fillId="0" borderId="0" xfId="10" applyNumberFormat="1" applyFont="1" applyAlignment="1" applyProtection="1">
      <alignment horizontal="center" vertical="center" shrinkToFit="1"/>
      <protection locked="0"/>
    </xf>
    <xf numFmtId="0" fontId="8" fillId="14" borderId="69" xfId="10" applyFont="1" applyFill="1" applyBorder="1" applyAlignment="1">
      <alignment horizontal="left" vertical="center" shrinkToFit="1"/>
    </xf>
    <xf numFmtId="1" fontId="10" fillId="15" borderId="12" xfId="10" applyNumberFormat="1" applyFont="1" applyFill="1" applyBorder="1" applyAlignment="1" applyProtection="1">
      <alignment horizontal="left" vertical="center" wrapText="1"/>
      <protection locked="0"/>
    </xf>
    <xf numFmtId="1" fontId="10" fillId="15" borderId="13" xfId="10" applyNumberFormat="1" applyFont="1" applyFill="1" applyBorder="1" applyAlignment="1" applyProtection="1">
      <alignment horizontal="left" vertical="center" wrapText="1"/>
      <protection locked="0"/>
    </xf>
    <xf numFmtId="1" fontId="10" fillId="15" borderId="19" xfId="10" applyNumberFormat="1" applyFont="1" applyFill="1" applyBorder="1" applyAlignment="1" applyProtection="1">
      <alignment horizontal="left" vertical="center" wrapText="1"/>
      <protection locked="0"/>
    </xf>
    <xf numFmtId="1" fontId="10" fillId="15" borderId="13" xfId="10" applyNumberFormat="1" applyFont="1" applyFill="1" applyBorder="1" applyAlignment="1" applyProtection="1">
      <alignment horizontal="center" vertical="center" wrapText="1"/>
      <protection locked="0"/>
    </xf>
    <xf numFmtId="1" fontId="10" fillId="15" borderId="19" xfId="10" applyNumberFormat="1" applyFont="1" applyFill="1" applyBorder="1" applyAlignment="1" applyProtection="1">
      <alignment horizontal="center" vertical="center" wrapText="1"/>
      <protection locked="0"/>
    </xf>
    <xf numFmtId="1" fontId="10" fillId="15" borderId="40" xfId="10" applyNumberFormat="1" applyFont="1" applyFill="1" applyBorder="1" applyAlignment="1" applyProtection="1">
      <alignment horizontal="center" vertical="center" wrapText="1"/>
      <protection locked="0"/>
    </xf>
    <xf numFmtId="0" fontId="17" fillId="0" borderId="0" xfId="11"/>
    <xf numFmtId="2" fontId="23" fillId="0" borderId="0" xfId="11" applyNumberFormat="1" applyFont="1" applyAlignment="1">
      <alignment horizontal="left" vertical="center" wrapText="1"/>
    </xf>
    <xf numFmtId="0" fontId="21" fillId="0" borderId="0" xfId="11" applyFont="1" applyAlignment="1">
      <alignment horizontal="left" vertical="center" wrapText="1"/>
    </xf>
    <xf numFmtId="0" fontId="8" fillId="0" borderId="2" xfId="1" applyFont="1" applyBorder="1" applyAlignment="1">
      <alignment vertical="center"/>
    </xf>
    <xf numFmtId="0" fontId="23" fillId="14" borderId="125" xfId="0" applyFont="1" applyFill="1" applyBorder="1" applyAlignment="1">
      <alignment horizontal="left" vertical="center" wrapText="1"/>
    </xf>
    <xf numFmtId="0" fontId="8" fillId="14" borderId="126" xfId="0" applyFont="1" applyFill="1" applyBorder="1" applyAlignment="1">
      <alignment horizontal="left" vertical="center" wrapText="1"/>
    </xf>
    <xf numFmtId="2" fontId="8" fillId="6" borderId="42" xfId="0" applyNumberFormat="1" applyFont="1" applyFill="1" applyBorder="1" applyAlignment="1">
      <alignment vertical="center" wrapText="1"/>
    </xf>
    <xf numFmtId="0" fontId="10" fillId="13" borderId="132" xfId="0" applyFont="1" applyFill="1" applyBorder="1" applyAlignment="1">
      <alignment horizontal="left" vertical="center" wrapText="1"/>
    </xf>
    <xf numFmtId="0" fontId="10" fillId="22" borderId="13" xfId="0" applyFont="1" applyFill="1" applyBorder="1" applyAlignment="1">
      <alignment horizontal="left" vertical="center" wrapText="1"/>
    </xf>
    <xf numFmtId="2" fontId="8" fillId="15" borderId="22" xfId="1" applyNumberFormat="1" applyFont="1" applyFill="1" applyBorder="1" applyAlignment="1" applyProtection="1">
      <alignment horizontal="right" vertical="center" shrinkToFit="1"/>
      <protection locked="0"/>
    </xf>
    <xf numFmtId="2" fontId="8" fillId="15" borderId="18" xfId="1" applyNumberFormat="1" applyFont="1" applyFill="1" applyBorder="1" applyAlignment="1" applyProtection="1">
      <alignment horizontal="right" vertical="center" shrinkToFit="1"/>
      <protection locked="0"/>
    </xf>
    <xf numFmtId="2" fontId="8" fillId="0" borderId="18" xfId="1" applyNumberFormat="1" applyFont="1" applyBorder="1" applyAlignment="1" applyProtection="1">
      <alignment horizontal="right" vertical="center" shrinkToFit="1"/>
      <protection locked="0"/>
    </xf>
    <xf numFmtId="2" fontId="8" fillId="0" borderId="50" xfId="1" applyNumberFormat="1" applyFont="1" applyBorder="1" applyAlignment="1" applyProtection="1">
      <alignment horizontal="right" vertical="center" shrinkToFit="1"/>
      <protection locked="0"/>
    </xf>
    <xf numFmtId="2" fontId="8" fillId="0" borderId="94" xfId="1" applyNumberFormat="1" applyFont="1" applyBorder="1" applyAlignment="1" applyProtection="1">
      <alignment horizontal="right" vertical="center" shrinkToFit="1"/>
      <protection locked="0"/>
    </xf>
    <xf numFmtId="2" fontId="8" fillId="15" borderId="56" xfId="1" applyNumberFormat="1" applyFont="1" applyFill="1" applyBorder="1" applyAlignment="1">
      <alignment horizontal="right" vertical="center" shrinkToFit="1"/>
    </xf>
    <xf numFmtId="2" fontId="8" fillId="15" borderId="27" xfId="1" applyNumberFormat="1" applyFont="1" applyFill="1" applyBorder="1" applyAlignment="1">
      <alignment horizontal="right" vertical="center" shrinkToFit="1"/>
    </xf>
    <xf numFmtId="2" fontId="8" fillId="0" borderId="27" xfId="1" applyNumberFormat="1" applyFont="1" applyBorder="1" applyAlignment="1">
      <alignment horizontal="right" vertical="center" shrinkToFit="1"/>
    </xf>
    <xf numFmtId="2" fontId="8" fillId="0" borderId="68" xfId="1" applyNumberFormat="1" applyFont="1" applyBorder="1" applyAlignment="1">
      <alignment horizontal="right" vertical="center" shrinkToFit="1"/>
    </xf>
    <xf numFmtId="2" fontId="8" fillId="0" borderId="95" xfId="1" applyNumberFormat="1" applyFont="1" applyBorder="1" applyAlignment="1">
      <alignment horizontal="right" vertical="center" shrinkToFit="1"/>
    </xf>
    <xf numFmtId="2" fontId="8" fillId="15" borderId="40" xfId="1" applyNumberFormat="1" applyFont="1" applyFill="1" applyBorder="1" applyAlignment="1" applyProtection="1">
      <alignment horizontal="right" vertical="center" shrinkToFit="1"/>
      <protection locked="0"/>
    </xf>
    <xf numFmtId="2" fontId="8" fillId="15" borderId="13" xfId="1" applyNumberFormat="1" applyFont="1" applyFill="1" applyBorder="1" applyAlignment="1" applyProtection="1">
      <alignment horizontal="right" vertical="center" shrinkToFit="1"/>
      <protection locked="0"/>
    </xf>
    <xf numFmtId="2" fontId="8" fillId="0" borderId="13" xfId="1" applyNumberFormat="1" applyFont="1" applyBorder="1" applyAlignment="1" applyProtection="1">
      <alignment horizontal="right" vertical="center" shrinkToFit="1"/>
      <protection locked="0"/>
    </xf>
    <xf numFmtId="2" fontId="8" fillId="0" borderId="38" xfId="1" applyNumberFormat="1" applyFont="1" applyBorder="1" applyAlignment="1" applyProtection="1">
      <alignment horizontal="right" vertical="center" shrinkToFit="1"/>
      <protection locked="0"/>
    </xf>
    <xf numFmtId="2" fontId="8" fillId="0" borderId="39" xfId="1" applyNumberFormat="1" applyFont="1" applyBorder="1" applyAlignment="1" applyProtection="1">
      <alignment horizontal="right" vertical="center" shrinkToFit="1"/>
      <protection locked="0"/>
    </xf>
    <xf numFmtId="2" fontId="8" fillId="15" borderId="16" xfId="1" applyNumberFormat="1" applyFont="1" applyFill="1" applyBorder="1" applyAlignment="1" applyProtection="1">
      <alignment horizontal="right" vertical="center" shrinkToFit="1"/>
      <protection locked="0"/>
    </xf>
    <xf numFmtId="2" fontId="8" fillId="15" borderId="47" xfId="1" applyNumberFormat="1" applyFont="1" applyFill="1" applyBorder="1" applyAlignment="1" applyProtection="1">
      <alignment horizontal="right" vertical="center" wrapText="1"/>
      <protection locked="0"/>
    </xf>
    <xf numFmtId="2" fontId="8" fillId="0" borderId="47" xfId="1" applyNumberFormat="1" applyFont="1" applyBorder="1" applyAlignment="1" applyProtection="1">
      <alignment horizontal="right" vertical="center" wrapText="1"/>
      <protection locked="0"/>
    </xf>
    <xf numFmtId="2" fontId="8" fillId="0" borderId="51" xfId="1" applyNumberFormat="1" applyFont="1" applyBorder="1" applyAlignment="1" applyProtection="1">
      <alignment horizontal="right" vertical="center" wrapText="1"/>
      <protection locked="0"/>
    </xf>
    <xf numFmtId="2" fontId="8" fillId="0" borderId="104" xfId="1" applyNumberFormat="1" applyFont="1" applyBorder="1" applyAlignment="1" applyProtection="1">
      <alignment horizontal="right" vertical="center" wrapText="1"/>
      <protection locked="0"/>
    </xf>
    <xf numFmtId="2" fontId="8" fillId="3" borderId="14" xfId="1" applyNumberFormat="1" applyFont="1" applyFill="1" applyBorder="1" applyAlignment="1">
      <alignment horizontal="right" vertical="center"/>
    </xf>
    <xf numFmtId="2" fontId="8" fillId="0" borderId="6" xfId="1" applyNumberFormat="1" applyFont="1" applyBorder="1" applyAlignment="1" applyProtection="1">
      <alignment horizontal="right" vertical="center"/>
      <protection locked="0"/>
    </xf>
    <xf numFmtId="2" fontId="8" fillId="0" borderId="25" xfId="1" applyNumberFormat="1" applyFont="1" applyBorder="1" applyAlignment="1" applyProtection="1">
      <alignment horizontal="right" vertical="center"/>
      <protection locked="0"/>
    </xf>
    <xf numFmtId="2" fontId="8" fillId="3" borderId="14" xfId="1" applyNumberFormat="1" applyFont="1" applyFill="1" applyBorder="1" applyAlignment="1" applyProtection="1">
      <alignment horizontal="right" vertical="center"/>
      <protection locked="0"/>
    </xf>
    <xf numFmtId="2" fontId="8" fillId="0" borderId="6" xfId="6" applyNumberFormat="1" applyFont="1" applyBorder="1" applyAlignment="1">
      <alignment horizontal="right" vertical="center"/>
    </xf>
    <xf numFmtId="2" fontId="8" fillId="0" borderId="6" xfId="7" applyNumberFormat="1" applyFont="1" applyBorder="1" applyAlignment="1" applyProtection="1">
      <alignment horizontal="right" vertical="center"/>
      <protection locked="0"/>
    </xf>
    <xf numFmtId="2" fontId="8" fillId="0" borderId="25" xfId="6" applyNumberFormat="1" applyFont="1" applyBorder="1" applyAlignment="1">
      <alignment horizontal="right" vertical="center"/>
    </xf>
    <xf numFmtId="2" fontId="8" fillId="0" borderId="25" xfId="7" applyNumberFormat="1" applyFont="1" applyBorder="1" applyAlignment="1" applyProtection="1">
      <alignment horizontal="right" vertical="center"/>
      <protection locked="0"/>
    </xf>
    <xf numFmtId="0" fontId="8" fillId="14" borderId="18" xfId="1" applyFont="1" applyFill="1" applyBorder="1" applyAlignment="1" applyProtection="1">
      <alignment horizontal="right" vertical="center" wrapText="1"/>
      <protection locked="0"/>
    </xf>
    <xf numFmtId="0" fontId="17" fillId="0" borderId="25" xfId="0" applyFont="1" applyBorder="1" applyAlignment="1">
      <alignment horizontal="right" vertical="center"/>
    </xf>
    <xf numFmtId="1" fontId="8" fillId="14" borderId="24" xfId="10" applyNumberFormat="1" applyFont="1" applyFill="1" applyBorder="1" applyAlignment="1" applyProtection="1">
      <alignment horizontal="right" vertical="center" shrinkToFit="1"/>
      <protection locked="0"/>
    </xf>
    <xf numFmtId="1" fontId="8" fillId="14" borderId="28" xfId="10" applyNumberFormat="1" applyFont="1" applyFill="1" applyBorder="1" applyAlignment="1" applyProtection="1">
      <alignment horizontal="right" vertical="center" shrinkToFit="1"/>
      <protection locked="0"/>
    </xf>
    <xf numFmtId="0" fontId="8" fillId="14" borderId="7" xfId="0" applyFont="1" applyFill="1" applyBorder="1" applyAlignment="1">
      <alignment horizontal="right" vertical="center" wrapText="1"/>
    </xf>
    <xf numFmtId="0" fontId="10" fillId="14" borderId="85" xfId="0" applyFont="1" applyFill="1" applyBorder="1" applyAlignment="1">
      <alignment horizontal="right" vertical="center" wrapText="1"/>
    </xf>
    <xf numFmtId="0" fontId="8" fillId="17" borderId="32" xfId="0" applyFont="1" applyFill="1" applyBorder="1" applyAlignment="1">
      <alignment horizontal="right" vertical="center" wrapText="1"/>
    </xf>
    <xf numFmtId="0" fontId="8" fillId="17" borderId="7" xfId="0" applyFont="1" applyFill="1" applyBorder="1" applyAlignment="1">
      <alignment horizontal="right" vertical="center" wrapText="1"/>
    </xf>
    <xf numFmtId="0" fontId="8" fillId="8" borderId="7" xfId="0" applyFont="1" applyFill="1" applyBorder="1" applyAlignment="1">
      <alignment horizontal="right" vertical="center" wrapText="1"/>
    </xf>
    <xf numFmtId="0" fontId="8" fillId="17" borderId="0" xfId="0" applyFont="1" applyFill="1" applyAlignment="1">
      <alignment horizontal="right" vertical="center" wrapText="1"/>
    </xf>
    <xf numFmtId="0" fontId="8" fillId="14" borderId="127" xfId="0" applyFont="1" applyFill="1" applyBorder="1" applyAlignment="1">
      <alignment horizontal="right" vertical="center" wrapText="1"/>
    </xf>
    <xf numFmtId="0" fontId="8" fillId="14" borderId="74" xfId="0" applyFont="1" applyFill="1" applyBorder="1" applyAlignment="1">
      <alignment horizontal="right" vertical="center" wrapText="1"/>
    </xf>
    <xf numFmtId="0" fontId="8" fillId="14" borderId="76" xfId="0" applyFont="1" applyFill="1" applyBorder="1" applyAlignment="1">
      <alignment horizontal="right" vertical="center" wrapText="1"/>
    </xf>
    <xf numFmtId="1" fontId="8" fillId="14" borderId="54" xfId="10" applyNumberFormat="1" applyFont="1" applyFill="1" applyBorder="1" applyAlignment="1" applyProtection="1">
      <alignment horizontal="right" vertical="center" shrinkToFit="1"/>
      <protection locked="0"/>
    </xf>
    <xf numFmtId="0" fontId="8" fillId="14" borderId="6" xfId="10" applyFont="1" applyFill="1" applyBorder="1" applyAlignment="1" applyProtection="1">
      <alignment horizontal="right" vertical="center" shrinkToFit="1"/>
      <protection locked="0"/>
    </xf>
    <xf numFmtId="0" fontId="8" fillId="14" borderId="27" xfId="10" applyFont="1" applyFill="1" applyBorder="1" applyAlignment="1" applyProtection="1">
      <alignment horizontal="right" vertical="center" shrinkToFit="1"/>
      <protection locked="0"/>
    </xf>
    <xf numFmtId="0" fontId="8" fillId="14" borderId="14" xfId="10" applyFont="1" applyFill="1" applyBorder="1" applyAlignment="1" applyProtection="1">
      <alignment horizontal="right" vertical="center" shrinkToFit="1"/>
      <protection locked="0"/>
    </xf>
    <xf numFmtId="167" fontId="23" fillId="0" borderId="14" xfId="11" applyNumberFormat="1" applyFont="1" applyBorder="1" applyAlignment="1">
      <alignment horizontal="right" vertical="center" wrapText="1"/>
    </xf>
    <xf numFmtId="167" fontId="23" fillId="0" borderId="6" xfId="11" applyNumberFormat="1" applyFont="1" applyBorder="1" applyAlignment="1">
      <alignment horizontal="right" vertical="center" wrapText="1"/>
    </xf>
    <xf numFmtId="167" fontId="23" fillId="9" borderId="15" xfId="11" applyNumberFormat="1" applyFont="1" applyFill="1" applyBorder="1" applyAlignment="1">
      <alignment horizontal="right" vertical="center" wrapText="1"/>
    </xf>
    <xf numFmtId="167" fontId="23" fillId="0" borderId="48" xfId="11" applyNumberFormat="1" applyFont="1" applyBorder="1" applyAlignment="1">
      <alignment horizontal="right" vertical="center" wrapText="1"/>
    </xf>
    <xf numFmtId="167" fontId="23" fillId="0" borderId="34" xfId="11" applyNumberFormat="1" applyFont="1" applyBorder="1" applyAlignment="1">
      <alignment horizontal="right" vertical="center" wrapText="1"/>
    </xf>
    <xf numFmtId="167" fontId="23" fillId="9" borderId="115" xfId="11" applyNumberFormat="1" applyFont="1" applyFill="1" applyBorder="1" applyAlignment="1">
      <alignment horizontal="right" vertical="center" wrapText="1"/>
    </xf>
    <xf numFmtId="167" fontId="23" fillId="9" borderId="23" xfId="11" applyNumberFormat="1" applyFont="1" applyFill="1" applyBorder="1" applyAlignment="1">
      <alignment horizontal="right" vertical="center" wrapText="1"/>
    </xf>
    <xf numFmtId="167" fontId="23" fillId="9" borderId="33" xfId="11" applyNumberFormat="1" applyFont="1" applyFill="1" applyBorder="1" applyAlignment="1">
      <alignment horizontal="right" vertical="center" wrapText="1"/>
    </xf>
    <xf numFmtId="167" fontId="17" fillId="0" borderId="6" xfId="11" applyNumberFormat="1" applyBorder="1" applyAlignment="1">
      <alignment horizontal="right"/>
    </xf>
    <xf numFmtId="167" fontId="17" fillId="0" borderId="34" xfId="11" applyNumberFormat="1" applyBorder="1" applyAlignment="1">
      <alignment horizontal="right"/>
    </xf>
    <xf numFmtId="2" fontId="17" fillId="0" borderId="6" xfId="11" applyNumberFormat="1" applyBorder="1" applyAlignment="1">
      <alignment horizontal="right"/>
    </xf>
    <xf numFmtId="2" fontId="17" fillId="0" borderId="34" xfId="11" applyNumberFormat="1" applyBorder="1" applyAlignment="1">
      <alignment horizontal="right"/>
    </xf>
    <xf numFmtId="167" fontId="17" fillId="0" borderId="25" xfId="11" applyNumberFormat="1" applyBorder="1" applyAlignment="1">
      <alignment horizontal="right"/>
    </xf>
    <xf numFmtId="167" fontId="17" fillId="0" borderId="49" xfId="11" applyNumberFormat="1" applyBorder="1" applyAlignment="1">
      <alignment horizontal="right"/>
    </xf>
    <xf numFmtId="167" fontId="17" fillId="0" borderId="128" xfId="0" applyNumberFormat="1" applyFont="1" applyBorder="1" applyAlignment="1">
      <alignment horizontal="right" vertical="center"/>
    </xf>
    <xf numFmtId="167" fontId="17" fillId="0" borderId="129" xfId="0" applyNumberFormat="1" applyFont="1" applyBorder="1" applyAlignment="1">
      <alignment horizontal="right" vertical="center"/>
    </xf>
    <xf numFmtId="167" fontId="17" fillId="0" borderId="127" xfId="0" applyNumberFormat="1" applyFont="1" applyBorder="1" applyAlignment="1">
      <alignment horizontal="right" vertical="center"/>
    </xf>
    <xf numFmtId="167" fontId="17" fillId="0" borderId="130" xfId="0" applyNumberFormat="1" applyFont="1" applyBorder="1" applyAlignment="1">
      <alignment horizontal="right" vertical="center"/>
    </xf>
    <xf numFmtId="167" fontId="17" fillId="0" borderId="82" xfId="0" applyNumberFormat="1" applyFont="1" applyBorder="1" applyAlignment="1">
      <alignment horizontal="right" vertical="center"/>
    </xf>
    <xf numFmtId="167" fontId="17" fillId="0" borderId="41" xfId="0" applyNumberFormat="1" applyFont="1" applyBorder="1" applyAlignment="1">
      <alignment horizontal="right" vertical="center"/>
    </xf>
    <xf numFmtId="167" fontId="17" fillId="0" borderId="74" xfId="0" applyNumberFormat="1" applyFont="1" applyBorder="1" applyAlignment="1">
      <alignment horizontal="right" vertical="center"/>
    </xf>
    <xf numFmtId="167" fontId="17" fillId="0" borderId="102" xfId="0" applyNumberFormat="1" applyFont="1" applyBorder="1" applyAlignment="1">
      <alignment horizontal="right" vertical="center"/>
    </xf>
    <xf numFmtId="167" fontId="17" fillId="0" borderId="83" xfId="0" applyNumberFormat="1" applyFont="1" applyBorder="1" applyAlignment="1">
      <alignment horizontal="right" vertical="center"/>
    </xf>
    <xf numFmtId="167" fontId="17" fillId="0" borderId="99" xfId="0" applyNumberFormat="1" applyFont="1" applyBorder="1" applyAlignment="1">
      <alignment horizontal="right" vertical="center"/>
    </xf>
    <xf numFmtId="167" fontId="17" fillId="0" borderId="76" xfId="0" applyNumberFormat="1" applyFont="1" applyBorder="1" applyAlignment="1">
      <alignment horizontal="right" vertical="center"/>
    </xf>
    <xf numFmtId="167" fontId="17" fillId="0" borderId="103" xfId="0" applyNumberFormat="1" applyFont="1" applyBorder="1" applyAlignment="1">
      <alignment horizontal="right" vertical="center"/>
    </xf>
    <xf numFmtId="2" fontId="17" fillId="0" borderId="80" xfId="0" applyNumberFormat="1" applyFont="1" applyBorder="1" applyAlignment="1">
      <alignment horizontal="right" vertical="center"/>
    </xf>
    <xf numFmtId="2" fontId="17" fillId="0" borderId="42" xfId="0" applyNumberFormat="1" applyFont="1" applyBorder="1" applyAlignment="1">
      <alignment horizontal="right" vertical="center"/>
    </xf>
    <xf numFmtId="2" fontId="17" fillId="0" borderId="81" xfId="0" applyNumberFormat="1" applyFont="1" applyBorder="1" applyAlignment="1">
      <alignment horizontal="right" vertical="center"/>
    </xf>
    <xf numFmtId="2" fontId="17" fillId="0" borderId="101" xfId="0" applyNumberFormat="1" applyFont="1" applyBorder="1" applyAlignment="1">
      <alignment horizontal="right" vertical="center"/>
    </xf>
    <xf numFmtId="2" fontId="17" fillId="0" borderId="82" xfId="0" applyNumberFormat="1" applyFont="1" applyBorder="1" applyAlignment="1">
      <alignment horizontal="right" vertical="center"/>
    </xf>
    <xf numFmtId="2" fontId="17" fillId="0" borderId="41" xfId="0" applyNumberFormat="1" applyFont="1" applyBorder="1" applyAlignment="1">
      <alignment horizontal="right" vertical="center"/>
    </xf>
    <xf numFmtId="2" fontId="17" fillId="0" borderId="74" xfId="0" applyNumberFormat="1" applyFont="1" applyBorder="1" applyAlignment="1">
      <alignment horizontal="right" vertical="center"/>
    </xf>
    <xf numFmtId="2" fontId="17" fillId="0" borderId="102" xfId="0" applyNumberFormat="1" applyFont="1" applyBorder="1" applyAlignment="1">
      <alignment horizontal="right" vertical="center"/>
    </xf>
    <xf numFmtId="2" fontId="17" fillId="0" borderId="110" xfId="0" applyNumberFormat="1" applyFont="1" applyBorder="1" applyAlignment="1">
      <alignment horizontal="right" vertical="center"/>
    </xf>
    <xf numFmtId="2" fontId="17" fillId="0" borderId="72" xfId="0" applyNumberFormat="1" applyFont="1" applyBorder="1" applyAlignment="1">
      <alignment horizontal="right" vertical="center"/>
    </xf>
    <xf numFmtId="2" fontId="17" fillId="0" borderId="75" xfId="0" applyNumberFormat="1" applyFont="1" applyBorder="1" applyAlignment="1">
      <alignment horizontal="right" vertical="center"/>
    </xf>
    <xf numFmtId="2" fontId="17" fillId="0" borderId="111" xfId="0" applyNumberFormat="1" applyFont="1" applyBorder="1" applyAlignment="1">
      <alignment horizontal="right" vertical="center"/>
    </xf>
    <xf numFmtId="2" fontId="17" fillId="0" borderId="83" xfId="0" applyNumberFormat="1" applyFont="1" applyBorder="1" applyAlignment="1">
      <alignment horizontal="right" vertical="center"/>
    </xf>
    <xf numFmtId="2" fontId="17" fillId="0" borderId="99" xfId="0" applyNumberFormat="1" applyFont="1" applyBorder="1" applyAlignment="1">
      <alignment horizontal="right" vertical="center"/>
    </xf>
    <xf numFmtId="2" fontId="17" fillId="0" borderId="76" xfId="0" applyNumberFormat="1" applyFont="1" applyBorder="1" applyAlignment="1">
      <alignment horizontal="right" vertical="center"/>
    </xf>
    <xf numFmtId="2" fontId="17" fillId="0" borderId="103" xfId="0" applyNumberFormat="1" applyFont="1" applyBorder="1" applyAlignment="1">
      <alignment horizontal="right" vertical="center"/>
    </xf>
    <xf numFmtId="2" fontId="8" fillId="0" borderId="44" xfId="0" applyNumberFormat="1" applyFont="1" applyBorder="1" applyAlignment="1">
      <alignment horizontal="right" vertical="center" wrapText="1"/>
    </xf>
    <xf numFmtId="2" fontId="8" fillId="0" borderId="41" xfId="0" applyNumberFormat="1" applyFont="1" applyBorder="1" applyAlignment="1">
      <alignment horizontal="right" vertical="center" wrapText="1"/>
    </xf>
    <xf numFmtId="2" fontId="8" fillId="0" borderId="46" xfId="0" applyNumberFormat="1" applyFont="1" applyBorder="1" applyAlignment="1">
      <alignment horizontal="right" vertical="center" wrapText="1"/>
    </xf>
    <xf numFmtId="2" fontId="8" fillId="0" borderId="43" xfId="0" applyNumberFormat="1" applyFont="1" applyBorder="1" applyAlignment="1">
      <alignment horizontal="right" vertical="center" wrapText="1"/>
    </xf>
    <xf numFmtId="2" fontId="8" fillId="0" borderId="42" xfId="0" applyNumberFormat="1" applyFont="1" applyBorder="1" applyAlignment="1">
      <alignment horizontal="right" vertical="center" wrapText="1"/>
    </xf>
    <xf numFmtId="2" fontId="8" fillId="0" borderId="45" xfId="0" applyNumberFormat="1" applyFont="1" applyBorder="1" applyAlignment="1">
      <alignment horizontal="right" vertical="center" wrapText="1"/>
    </xf>
    <xf numFmtId="2" fontId="8" fillId="10" borderId="117" xfId="0" applyNumberFormat="1" applyFont="1" applyFill="1" applyBorder="1" applyAlignment="1">
      <alignment horizontal="right" vertical="center" wrapText="1"/>
    </xf>
    <xf numFmtId="2" fontId="8" fillId="10" borderId="72" xfId="0" applyNumberFormat="1" applyFont="1" applyFill="1" applyBorder="1" applyAlignment="1">
      <alignment horizontal="right" vertical="center" wrapText="1"/>
    </xf>
    <xf numFmtId="2" fontId="8" fillId="10" borderId="73" xfId="0" applyNumberFormat="1" applyFont="1" applyFill="1" applyBorder="1" applyAlignment="1">
      <alignment horizontal="right" vertical="center" wrapText="1"/>
    </xf>
    <xf numFmtId="2" fontId="8" fillId="10" borderId="131" xfId="0" applyNumberFormat="1" applyFont="1" applyFill="1" applyBorder="1" applyAlignment="1">
      <alignment horizontal="right" vertical="center" wrapText="1"/>
    </xf>
    <xf numFmtId="2" fontId="8" fillId="10" borderId="84" xfId="0" applyNumberFormat="1" applyFont="1" applyFill="1" applyBorder="1" applyAlignment="1">
      <alignment horizontal="right" vertical="center" wrapText="1"/>
    </xf>
    <xf numFmtId="2" fontId="8" fillId="10" borderId="85" xfId="0" applyNumberFormat="1" applyFont="1" applyFill="1" applyBorder="1" applyAlignment="1">
      <alignment horizontal="right" vertical="center" wrapText="1"/>
    </xf>
    <xf numFmtId="2" fontId="8" fillId="10" borderId="86" xfId="0" applyNumberFormat="1" applyFont="1" applyFill="1" applyBorder="1" applyAlignment="1">
      <alignment horizontal="right" vertical="center" wrapText="1"/>
    </xf>
    <xf numFmtId="2" fontId="8" fillId="15" borderId="17" xfId="0" applyNumberFormat="1" applyFont="1" applyFill="1" applyBorder="1" applyAlignment="1">
      <alignment horizontal="right" vertical="center" wrapText="1"/>
    </xf>
    <xf numFmtId="2" fontId="8" fillId="0" borderId="17" xfId="0" applyNumberFormat="1" applyFont="1" applyBorder="1" applyAlignment="1">
      <alignment horizontal="right" vertical="center" wrapText="1"/>
    </xf>
    <xf numFmtId="2" fontId="8" fillId="0" borderId="7" xfId="0" applyNumberFormat="1" applyFont="1" applyBorder="1" applyAlignment="1">
      <alignment horizontal="right" vertical="center" wrapText="1"/>
    </xf>
    <xf numFmtId="2" fontId="24" fillId="0" borderId="46" xfId="0" applyNumberFormat="1" applyFont="1" applyBorder="1" applyAlignment="1">
      <alignment horizontal="right" vertical="center" wrapText="1"/>
    </xf>
    <xf numFmtId="10" fontId="17" fillId="0" borderId="71" xfId="0" applyNumberFormat="1" applyFont="1" applyBorder="1" applyAlignment="1">
      <alignment horizontal="right" vertical="center" wrapText="1"/>
    </xf>
    <xf numFmtId="10" fontId="17" fillId="0" borderId="42" xfId="0" applyNumberFormat="1" applyFont="1" applyBorder="1" applyAlignment="1">
      <alignment horizontal="right" vertical="center" wrapText="1"/>
    </xf>
    <xf numFmtId="10" fontId="17" fillId="0" borderId="113" xfId="0" applyNumberFormat="1" applyFont="1" applyBorder="1" applyAlignment="1">
      <alignment horizontal="right" vertical="center" wrapText="1"/>
    </xf>
    <xf numFmtId="10" fontId="17" fillId="0" borderId="41" xfId="0" applyNumberFormat="1" applyFont="1" applyBorder="1" applyAlignment="1">
      <alignment horizontal="right" vertical="center" wrapText="1"/>
    </xf>
    <xf numFmtId="10" fontId="17" fillId="0" borderId="72" xfId="0" applyNumberFormat="1" applyFont="1" applyBorder="1" applyAlignment="1">
      <alignment horizontal="right" vertical="center" wrapText="1"/>
    </xf>
    <xf numFmtId="165" fontId="17" fillId="9" borderId="22" xfId="0" applyNumberFormat="1" applyFont="1" applyFill="1" applyBorder="1" applyAlignment="1">
      <alignment horizontal="right" vertical="center" wrapText="1"/>
    </xf>
    <xf numFmtId="165" fontId="17" fillId="9" borderId="18" xfId="0" applyNumberFormat="1" applyFont="1" applyFill="1" applyBorder="1" applyAlignment="1">
      <alignment horizontal="right" vertical="center" wrapText="1"/>
    </xf>
    <xf numFmtId="165" fontId="17" fillId="15" borderId="23" xfId="0" applyNumberFormat="1" applyFont="1" applyFill="1" applyBorder="1" applyAlignment="1">
      <alignment horizontal="right" vertical="center" wrapText="1"/>
    </xf>
    <xf numFmtId="165" fontId="17" fillId="15" borderId="6" xfId="0" applyNumberFormat="1" applyFont="1" applyFill="1" applyBorder="1" applyAlignment="1">
      <alignment horizontal="right" vertical="center" wrapText="1"/>
    </xf>
    <xf numFmtId="165" fontId="17" fillId="0" borderId="6" xfId="0" applyNumberFormat="1" applyFont="1" applyBorder="1" applyAlignment="1">
      <alignment horizontal="right" vertical="center" wrapText="1"/>
    </xf>
    <xf numFmtId="165" fontId="17" fillId="15" borderId="15" xfId="0" applyNumberFormat="1" applyFont="1" applyFill="1" applyBorder="1" applyAlignment="1">
      <alignment horizontal="right" vertical="center" wrapText="1"/>
    </xf>
    <xf numFmtId="165" fontId="17" fillId="15" borderId="25" xfId="0" applyNumberFormat="1" applyFont="1" applyFill="1" applyBorder="1" applyAlignment="1">
      <alignment horizontal="right" vertical="center" wrapText="1"/>
    </xf>
    <xf numFmtId="165" fontId="17" fillId="0" borderId="25" xfId="0" applyNumberFormat="1" applyFont="1" applyBorder="1" applyAlignment="1">
      <alignment horizontal="right" vertical="center" wrapText="1"/>
    </xf>
    <xf numFmtId="165" fontId="17" fillId="15" borderId="56" xfId="0" applyNumberFormat="1" applyFont="1" applyFill="1" applyBorder="1" applyAlignment="1">
      <alignment horizontal="right" vertical="center" wrapText="1"/>
    </xf>
    <xf numFmtId="165" fontId="17" fillId="15" borderId="27" xfId="0" applyNumberFormat="1" applyFont="1" applyFill="1" applyBorder="1" applyAlignment="1">
      <alignment horizontal="right" vertical="center" wrapText="1"/>
    </xf>
    <xf numFmtId="165" fontId="17" fillId="0" borderId="27" xfId="0" applyNumberFormat="1" applyFont="1" applyBorder="1" applyAlignment="1">
      <alignment horizontal="right" vertical="center" wrapText="1"/>
    </xf>
    <xf numFmtId="165" fontId="17" fillId="9" borderId="17" xfId="0" applyNumberFormat="1" applyFont="1" applyFill="1" applyBorder="1" applyAlignment="1">
      <alignment horizontal="right" vertical="center" wrapText="1"/>
    </xf>
    <xf numFmtId="165" fontId="17" fillId="9" borderId="14" xfId="0" applyNumberFormat="1" applyFont="1" applyFill="1" applyBorder="1" applyAlignment="1">
      <alignment horizontal="right" vertical="center" wrapText="1"/>
    </xf>
    <xf numFmtId="165" fontId="8" fillId="15" borderId="23" xfId="1" applyNumberFormat="1" applyFont="1" applyFill="1" applyBorder="1" applyAlignment="1">
      <alignment horizontal="right" vertical="center" shrinkToFit="1"/>
    </xf>
    <xf numFmtId="165" fontId="8" fillId="15" borderId="6" xfId="1" applyNumberFormat="1" applyFont="1" applyFill="1" applyBorder="1" applyAlignment="1">
      <alignment horizontal="right" vertical="center" shrinkToFit="1"/>
    </xf>
    <xf numFmtId="165" fontId="8" fillId="0" borderId="6" xfId="1" applyNumberFormat="1" applyFont="1" applyBorder="1" applyAlignment="1">
      <alignment horizontal="right" vertical="center" shrinkToFit="1"/>
    </xf>
    <xf numFmtId="165" fontId="8" fillId="0" borderId="34" xfId="1" applyNumberFormat="1" applyFont="1" applyBorder="1" applyAlignment="1">
      <alignment horizontal="right" vertical="center" shrinkToFit="1"/>
    </xf>
    <xf numFmtId="165" fontId="8" fillId="0" borderId="105" xfId="1" applyNumberFormat="1" applyFont="1" applyBorder="1" applyAlignment="1">
      <alignment horizontal="right" vertical="center" shrinkToFit="1"/>
    </xf>
    <xf numFmtId="2" fontId="8" fillId="0" borderId="6" xfId="1" applyNumberFormat="1" applyFont="1" applyBorder="1" applyAlignment="1" applyProtection="1">
      <alignment horizontal="right" vertical="center" wrapText="1"/>
      <protection locked="0"/>
    </xf>
    <xf numFmtId="0" fontId="23" fillId="14" borderId="139" xfId="0" applyFont="1" applyFill="1" applyBorder="1" applyAlignment="1">
      <alignment horizontal="left" vertical="center" wrapText="1"/>
    </xf>
    <xf numFmtId="0" fontId="8" fillId="14" borderId="140" xfId="0" applyFont="1" applyFill="1" applyBorder="1" applyAlignment="1">
      <alignment horizontal="left" vertical="center" wrapText="1"/>
    </xf>
    <xf numFmtId="0" fontId="8" fillId="14" borderId="141" xfId="0" applyFont="1" applyFill="1" applyBorder="1" applyAlignment="1">
      <alignment horizontal="left" vertical="center" wrapText="1"/>
    </xf>
    <xf numFmtId="2" fontId="17" fillId="0" borderId="142" xfId="0" applyNumberFormat="1" applyFont="1" applyBorder="1" applyAlignment="1">
      <alignment horizontal="right" vertical="center"/>
    </xf>
    <xf numFmtId="2" fontId="17" fillId="0" borderId="143" xfId="0" applyNumberFormat="1" applyFont="1" applyBorder="1" applyAlignment="1">
      <alignment horizontal="right" vertical="center"/>
    </xf>
    <xf numFmtId="2" fontId="17" fillId="0" borderId="141" xfId="0" applyNumberFormat="1" applyFont="1" applyBorder="1" applyAlignment="1">
      <alignment horizontal="right" vertical="center"/>
    </xf>
    <xf numFmtId="2" fontId="17" fillId="0" borderId="144" xfId="0" applyNumberFormat="1" applyFont="1" applyBorder="1" applyAlignment="1">
      <alignment horizontal="right" vertical="center"/>
    </xf>
    <xf numFmtId="2" fontId="17" fillId="0" borderId="145" xfId="0" applyNumberFormat="1" applyFont="1" applyBorder="1" applyAlignment="1">
      <alignment horizontal="right" vertical="center"/>
    </xf>
    <xf numFmtId="0" fontId="23" fillId="14" borderId="146" xfId="0" applyFont="1" applyFill="1" applyBorder="1" applyAlignment="1">
      <alignment horizontal="left" vertical="center" wrapText="1"/>
    </xf>
    <xf numFmtId="2" fontId="17" fillId="0" borderId="147" xfId="0" applyNumberFormat="1" applyFont="1" applyBorder="1" applyAlignment="1">
      <alignment horizontal="right" vertical="center"/>
    </xf>
    <xf numFmtId="0" fontId="23" fillId="14" borderId="148" xfId="0" applyFont="1" applyFill="1" applyBorder="1" applyAlignment="1">
      <alignment horizontal="left" vertical="center" wrapText="1"/>
    </xf>
    <xf numFmtId="2" fontId="17" fillId="0" borderId="149" xfId="0" applyNumberFormat="1" applyFont="1" applyBorder="1" applyAlignment="1">
      <alignment horizontal="right" vertical="center"/>
    </xf>
    <xf numFmtId="0" fontId="23" fillId="14" borderId="150" xfId="0" applyFont="1" applyFill="1" applyBorder="1" applyAlignment="1">
      <alignment horizontal="left" vertical="center" wrapText="1"/>
    </xf>
    <xf numFmtId="0" fontId="8" fillId="14" borderId="151" xfId="0" applyFont="1" applyFill="1" applyBorder="1" applyAlignment="1">
      <alignment horizontal="left" vertical="center" wrapText="1"/>
    </xf>
    <xf numFmtId="0" fontId="8" fillId="14" borderId="152" xfId="0" applyFont="1" applyFill="1" applyBorder="1" applyAlignment="1">
      <alignment horizontal="left" vertical="center" wrapText="1"/>
    </xf>
    <xf numFmtId="2" fontId="17" fillId="0" borderId="153" xfId="0" applyNumberFormat="1" applyFont="1" applyBorder="1" applyAlignment="1">
      <alignment horizontal="right" vertical="center"/>
    </xf>
    <xf numFmtId="2" fontId="17" fillId="0" borderId="154" xfId="0" applyNumberFormat="1" applyFont="1" applyBorder="1" applyAlignment="1">
      <alignment horizontal="right" vertical="center"/>
    </xf>
    <xf numFmtId="2" fontId="17" fillId="0" borderId="152" xfId="0" applyNumberFormat="1" applyFont="1" applyBorder="1" applyAlignment="1">
      <alignment horizontal="right" vertical="center"/>
    </xf>
    <xf numFmtId="2" fontId="17" fillId="0" borderId="155" xfId="0" applyNumberFormat="1" applyFont="1" applyBorder="1" applyAlignment="1">
      <alignment horizontal="right" vertical="center"/>
    </xf>
    <xf numFmtId="2" fontId="17" fillId="0" borderId="156" xfId="0" applyNumberFormat="1" applyFont="1" applyBorder="1" applyAlignment="1">
      <alignment horizontal="right" vertical="center"/>
    </xf>
    <xf numFmtId="0" fontId="18" fillId="15" borderId="1" xfId="0" applyFont="1" applyFill="1" applyBorder="1" applyAlignment="1">
      <alignment horizontal="left" vertical="center" wrapText="1"/>
    </xf>
    <xf numFmtId="0" fontId="18" fillId="15" borderId="157" xfId="0" applyFont="1" applyFill="1" applyBorder="1" applyAlignment="1">
      <alignment horizontal="left" vertical="center" wrapText="1"/>
    </xf>
    <xf numFmtId="0" fontId="18" fillId="15" borderId="158" xfId="0" applyFont="1" applyFill="1" applyBorder="1" applyAlignment="1">
      <alignment horizontal="left" vertical="center" wrapText="1"/>
    </xf>
    <xf numFmtId="0" fontId="18" fillId="15" borderId="159" xfId="0" applyFont="1" applyFill="1" applyBorder="1" applyAlignment="1">
      <alignment horizontal="left" vertical="center"/>
    </xf>
    <xf numFmtId="0" fontId="18" fillId="15" borderId="160" xfId="0" applyFont="1" applyFill="1" applyBorder="1" applyAlignment="1">
      <alignment horizontal="left" vertical="center"/>
    </xf>
    <xf numFmtId="0" fontId="18" fillId="15" borderId="158" xfId="0" applyFont="1" applyFill="1" applyBorder="1" applyAlignment="1">
      <alignment horizontal="left" vertical="center"/>
    </xf>
    <xf numFmtId="0" fontId="18" fillId="15" borderId="20" xfId="0" applyFont="1" applyFill="1" applyBorder="1" applyAlignment="1">
      <alignment horizontal="left" vertical="center"/>
    </xf>
    <xf numFmtId="167" fontId="23" fillId="25" borderId="17" xfId="11" applyNumberFormat="1" applyFont="1" applyFill="1" applyBorder="1" applyAlignment="1">
      <alignment horizontal="right" vertical="center" wrapText="1"/>
    </xf>
    <xf numFmtId="167" fontId="23" fillId="25" borderId="14" xfId="11" applyNumberFormat="1" applyFont="1" applyFill="1" applyBorder="1" applyAlignment="1">
      <alignment horizontal="right" vertical="center" wrapText="1"/>
    </xf>
    <xf numFmtId="167" fontId="23" fillId="25" borderId="23" xfId="11" applyNumberFormat="1" applyFont="1" applyFill="1" applyBorder="1" applyAlignment="1">
      <alignment horizontal="right" vertical="center" wrapText="1"/>
    </xf>
    <xf numFmtId="167" fontId="23" fillId="25" borderId="6" xfId="11" applyNumberFormat="1" applyFont="1" applyFill="1" applyBorder="1" applyAlignment="1">
      <alignment horizontal="right" vertical="center" wrapText="1"/>
    </xf>
    <xf numFmtId="167" fontId="17" fillId="25" borderId="23" xfId="11" applyNumberFormat="1" applyFill="1" applyBorder="1" applyAlignment="1">
      <alignment horizontal="right"/>
    </xf>
    <xf numFmtId="167" fontId="17" fillId="25" borderId="6" xfId="11" applyNumberFormat="1" applyFill="1" applyBorder="1" applyAlignment="1">
      <alignment horizontal="right"/>
    </xf>
    <xf numFmtId="2" fontId="17" fillId="25" borderId="23" xfId="11" applyNumberFormat="1" applyFill="1" applyBorder="1" applyAlignment="1">
      <alignment horizontal="right"/>
    </xf>
    <xf numFmtId="2" fontId="17" fillId="25" borderId="6" xfId="11" applyNumberFormat="1" applyFill="1" applyBorder="1" applyAlignment="1">
      <alignment horizontal="right"/>
    </xf>
    <xf numFmtId="167" fontId="17" fillId="25" borderId="15" xfId="11" applyNumberFormat="1" applyFill="1" applyBorder="1" applyAlignment="1">
      <alignment horizontal="right"/>
    </xf>
    <xf numFmtId="167" fontId="17" fillId="25" borderId="25" xfId="11" applyNumberFormat="1" applyFill="1" applyBorder="1" applyAlignment="1">
      <alignment horizontal="right"/>
    </xf>
    <xf numFmtId="0" fontId="23" fillId="26" borderId="35" xfId="0" applyFont="1" applyFill="1" applyBorder="1" applyAlignment="1">
      <alignment wrapText="1"/>
    </xf>
    <xf numFmtId="0" fontId="23" fillId="0" borderId="90" xfId="0" applyFont="1" applyBorder="1" applyAlignment="1">
      <alignment wrapText="1"/>
    </xf>
    <xf numFmtId="0" fontId="10" fillId="22" borderId="163" xfId="0" applyFont="1" applyFill="1" applyBorder="1" applyAlignment="1">
      <alignment horizontal="left" vertical="center" wrapText="1"/>
    </xf>
    <xf numFmtId="0" fontId="10" fillId="22" borderId="164" xfId="0" applyFont="1" applyFill="1" applyBorder="1" applyAlignment="1">
      <alignment horizontal="left" vertical="center" wrapText="1"/>
    </xf>
    <xf numFmtId="0" fontId="23" fillId="0" borderId="37" xfId="0" applyFont="1" applyBorder="1" applyAlignment="1">
      <alignment wrapText="1"/>
    </xf>
    <xf numFmtId="0" fontId="17" fillId="15" borderId="12" xfId="11" applyFill="1" applyBorder="1" applyAlignment="1">
      <alignment horizontal="left" vertical="center" wrapText="1"/>
    </xf>
    <xf numFmtId="0" fontId="17" fillId="15" borderId="70" xfId="11" applyFill="1" applyBorder="1" applyAlignment="1">
      <alignment vertical="center" wrapText="1"/>
    </xf>
    <xf numFmtId="0" fontId="17" fillId="15" borderId="88" xfId="11" applyFill="1" applyBorder="1" applyAlignment="1">
      <alignment vertical="center" wrapText="1"/>
    </xf>
    <xf numFmtId="2" fontId="8" fillId="3" borderId="1" xfId="1" applyNumberFormat="1" applyFont="1" applyFill="1" applyBorder="1" applyAlignment="1">
      <alignment horizontal="right" vertical="center" shrinkToFit="1"/>
    </xf>
    <xf numFmtId="165" fontId="8" fillId="3" borderId="1" xfId="1" applyNumberFormat="1" applyFont="1" applyFill="1" applyBorder="1" applyAlignment="1">
      <alignment horizontal="right" vertical="center" shrinkToFit="1"/>
    </xf>
    <xf numFmtId="166" fontId="8" fillId="3" borderId="166" xfId="1" applyNumberFormat="1" applyFont="1" applyFill="1" applyBorder="1" applyAlignment="1">
      <alignment horizontal="right" vertical="center" shrinkToFit="1"/>
    </xf>
    <xf numFmtId="2" fontId="8" fillId="3" borderId="166" xfId="1" applyNumberFormat="1" applyFont="1" applyFill="1" applyBorder="1" applyAlignment="1">
      <alignment horizontal="right" vertical="center" shrinkToFit="1"/>
    </xf>
    <xf numFmtId="2" fontId="8" fillId="3" borderId="1" xfId="1" applyNumberFormat="1" applyFont="1" applyFill="1" applyBorder="1" applyAlignment="1">
      <alignment horizontal="right" vertical="center" wrapText="1"/>
    </xf>
    <xf numFmtId="2" fontId="8" fillId="3" borderId="166" xfId="1" applyNumberFormat="1" applyFont="1" applyFill="1" applyBorder="1" applyAlignment="1">
      <alignment horizontal="right" vertical="center" wrapText="1"/>
    </xf>
    <xf numFmtId="0" fontId="35" fillId="0" borderId="0" xfId="0" applyFont="1" applyAlignment="1">
      <alignment horizontal="left" vertical="center"/>
    </xf>
    <xf numFmtId="2" fontId="8" fillId="27" borderId="43" xfId="0" applyNumberFormat="1" applyFont="1" applyFill="1" applyBorder="1" applyAlignment="1">
      <alignment horizontal="right" vertical="center" wrapText="1"/>
    </xf>
    <xf numFmtId="2" fontId="8" fillId="27" borderId="44" xfId="0" applyNumberFormat="1" applyFont="1" applyFill="1" applyBorder="1" applyAlignment="1">
      <alignment horizontal="right" vertical="center" wrapText="1"/>
    </xf>
    <xf numFmtId="2" fontId="8" fillId="27" borderId="44" xfId="0" applyNumberFormat="1" applyFont="1" applyFill="1" applyBorder="1" applyAlignment="1">
      <alignment horizontal="right" vertical="center"/>
    </xf>
    <xf numFmtId="0" fontId="17" fillId="0" borderId="167" xfId="0" applyFont="1" applyBorder="1" applyAlignment="1">
      <alignment horizontal="left" vertical="center"/>
    </xf>
    <xf numFmtId="2" fontId="8" fillId="6" borderId="129" xfId="0" applyNumberFormat="1" applyFont="1" applyFill="1" applyBorder="1" applyAlignment="1">
      <alignment vertical="center" wrapText="1"/>
    </xf>
    <xf numFmtId="2" fontId="8" fillId="6" borderId="168" xfId="0" applyNumberFormat="1" applyFont="1" applyFill="1" applyBorder="1" applyAlignment="1">
      <alignment vertical="center" wrapText="1"/>
    </xf>
    <xf numFmtId="0" fontId="10" fillId="22" borderId="38" xfId="0" applyFont="1" applyFill="1" applyBorder="1" applyAlignment="1">
      <alignment horizontal="left" vertical="center" wrapText="1"/>
    </xf>
    <xf numFmtId="0" fontId="8" fillId="17" borderId="169" xfId="0" applyFont="1" applyFill="1" applyBorder="1" applyAlignment="1">
      <alignment horizontal="left" vertical="center" wrapText="1"/>
    </xf>
    <xf numFmtId="2" fontId="8" fillId="12" borderId="170" xfId="0" applyNumberFormat="1" applyFont="1" applyFill="1" applyBorder="1" applyAlignment="1">
      <alignment vertical="center" wrapText="1"/>
    </xf>
    <xf numFmtId="0" fontId="10" fillId="22" borderId="171" xfId="0" applyFont="1" applyFill="1" applyBorder="1" applyAlignment="1">
      <alignment horizontal="left" vertical="center" wrapText="1"/>
    </xf>
    <xf numFmtId="2" fontId="8" fillId="27" borderId="170" xfId="0" applyNumberFormat="1" applyFont="1" applyFill="1" applyBorder="1" applyAlignment="1">
      <alignment horizontal="right" vertical="center" wrapText="1"/>
    </xf>
    <xf numFmtId="2" fontId="8" fillId="0" borderId="129" xfId="0" applyNumberFormat="1" applyFont="1" applyBorder="1" applyAlignment="1">
      <alignment horizontal="right" vertical="center" wrapText="1"/>
    </xf>
    <xf numFmtId="0" fontId="10" fillId="22" borderId="172" xfId="0" applyFont="1" applyFill="1" applyBorder="1" applyAlignment="1">
      <alignment horizontal="left" vertical="center" wrapText="1"/>
    </xf>
    <xf numFmtId="2" fontId="8" fillId="12" borderId="173" xfId="0" applyNumberFormat="1" applyFont="1" applyFill="1" applyBorder="1" applyAlignment="1">
      <alignment vertical="center" wrapText="1"/>
    </xf>
    <xf numFmtId="2" fontId="8" fillId="12" borderId="174" xfId="0" applyNumberFormat="1" applyFont="1" applyFill="1" applyBorder="1" applyAlignment="1">
      <alignment vertical="center" wrapText="1"/>
    </xf>
    <xf numFmtId="2" fontId="8" fillId="12" borderId="175" xfId="0" applyNumberFormat="1" applyFont="1" applyFill="1" applyBorder="1" applyAlignment="1">
      <alignment vertical="center" wrapText="1"/>
    </xf>
    <xf numFmtId="2" fontId="8" fillId="6" borderId="126" xfId="0" applyNumberFormat="1" applyFont="1" applyFill="1" applyBorder="1" applyAlignment="1">
      <alignment vertical="center" wrapText="1"/>
    </xf>
    <xf numFmtId="2" fontId="8" fillId="12" borderId="23" xfId="0" applyNumberFormat="1" applyFont="1" applyFill="1" applyBorder="1" applyAlignment="1">
      <alignment vertical="center" wrapText="1"/>
    </xf>
    <xf numFmtId="2" fontId="8" fillId="6" borderId="176" xfId="0" applyNumberFormat="1" applyFont="1" applyFill="1" applyBorder="1" applyAlignment="1">
      <alignment vertical="center" wrapText="1"/>
    </xf>
    <xf numFmtId="0" fontId="17" fillId="15" borderId="12" xfId="9" applyFont="1" applyFill="1" applyBorder="1" applyAlignment="1">
      <alignment horizontal="left" vertical="top" wrapText="1"/>
    </xf>
    <xf numFmtId="2" fontId="17" fillId="0" borderId="19" xfId="9" applyNumberFormat="1" applyFont="1" applyBorder="1" applyAlignment="1">
      <alignment horizontal="left" vertical="top" wrapText="1"/>
    </xf>
    <xf numFmtId="0" fontId="17" fillId="0" borderId="19" xfId="9" applyFont="1" applyBorder="1" applyAlignment="1">
      <alignment horizontal="left" vertical="top" wrapText="1"/>
    </xf>
    <xf numFmtId="0" fontId="17" fillId="15" borderId="12" xfId="9" applyFont="1" applyFill="1" applyBorder="1" applyAlignment="1">
      <alignment horizontal="left" vertical="top"/>
    </xf>
    <xf numFmtId="0" fontId="17" fillId="15" borderId="94" xfId="0" applyFont="1" applyFill="1" applyBorder="1" applyAlignment="1">
      <alignment horizontal="left" vertical="top" wrapText="1"/>
    </xf>
    <xf numFmtId="0" fontId="17" fillId="15" borderId="21" xfId="0" applyFont="1" applyFill="1" applyBorder="1" applyAlignment="1">
      <alignment vertical="top" wrapText="1"/>
    </xf>
    <xf numFmtId="2" fontId="17" fillId="0" borderId="50" xfId="0" applyNumberFormat="1" applyFont="1" applyBorder="1" applyAlignment="1">
      <alignment horizontal="left" vertical="top" wrapText="1"/>
    </xf>
    <xf numFmtId="0" fontId="10" fillId="28" borderId="39" xfId="1" applyFont="1" applyFill="1" applyBorder="1" applyAlignment="1" applyProtection="1">
      <alignment horizontal="left" vertical="center" wrapText="1"/>
      <protection locked="0"/>
    </xf>
    <xf numFmtId="1" fontId="10" fillId="29" borderId="16" xfId="1" applyNumberFormat="1" applyFont="1" applyFill="1" applyBorder="1" applyAlignment="1" applyProtection="1">
      <alignment horizontal="left" vertical="center" wrapText="1"/>
      <protection locked="0"/>
    </xf>
    <xf numFmtId="1" fontId="10" fillId="29" borderId="47" xfId="1" applyNumberFormat="1" applyFont="1" applyFill="1" applyBorder="1" applyAlignment="1" applyProtection="1">
      <alignment horizontal="left" vertical="center" wrapText="1"/>
      <protection locked="0"/>
    </xf>
    <xf numFmtId="1" fontId="10" fillId="29" borderId="66" xfId="1" applyNumberFormat="1" applyFont="1" applyFill="1" applyBorder="1" applyAlignment="1" applyProtection="1">
      <alignment horizontal="left" vertical="center" wrapText="1"/>
      <protection locked="0"/>
    </xf>
    <xf numFmtId="0" fontId="17" fillId="28" borderId="68" xfId="0" applyFont="1" applyFill="1" applyBorder="1" applyAlignment="1">
      <alignment horizontal="left" vertical="center" wrapText="1"/>
    </xf>
    <xf numFmtId="1" fontId="10" fillId="31" borderId="47" xfId="1" applyNumberFormat="1" applyFont="1" applyFill="1" applyBorder="1" applyAlignment="1" applyProtection="1">
      <alignment horizontal="left" vertical="center" wrapText="1"/>
      <protection locked="0"/>
    </xf>
    <xf numFmtId="1" fontId="10" fillId="31" borderId="66" xfId="1" applyNumberFormat="1" applyFont="1" applyFill="1" applyBorder="1" applyAlignment="1" applyProtection="1">
      <alignment horizontal="left" vertical="center" wrapText="1"/>
      <protection locked="0"/>
    </xf>
    <xf numFmtId="1" fontId="10" fillId="31" borderId="16" xfId="1" applyNumberFormat="1" applyFont="1" applyFill="1" applyBorder="1" applyAlignment="1" applyProtection="1">
      <alignment horizontal="left" vertical="center" wrapText="1"/>
      <protection locked="0"/>
    </xf>
    <xf numFmtId="1" fontId="10" fillId="31" borderId="51" xfId="1" applyNumberFormat="1" applyFont="1" applyFill="1" applyBorder="1" applyAlignment="1" applyProtection="1">
      <alignment horizontal="left" vertical="center" wrapText="1"/>
      <protection locked="0"/>
    </xf>
    <xf numFmtId="0" fontId="17" fillId="30" borderId="68" xfId="0" applyFont="1" applyFill="1" applyBorder="1" applyAlignment="1">
      <alignment horizontal="left" vertical="center" wrapText="1"/>
    </xf>
    <xf numFmtId="0" fontId="10" fillId="30" borderId="39" xfId="1" applyFont="1" applyFill="1" applyBorder="1" applyAlignment="1" applyProtection="1">
      <alignment horizontal="left" vertical="center" wrapText="1"/>
      <protection locked="0"/>
    </xf>
    <xf numFmtId="2" fontId="8" fillId="31" borderId="13" xfId="1" applyNumberFormat="1" applyFont="1" applyFill="1" applyBorder="1" applyAlignment="1" applyProtection="1">
      <alignment horizontal="left" vertical="center" shrinkToFit="1"/>
      <protection locked="0"/>
    </xf>
    <xf numFmtId="2" fontId="8" fillId="31" borderId="13" xfId="1" applyNumberFormat="1" applyFont="1" applyFill="1" applyBorder="1" applyAlignment="1" applyProtection="1">
      <alignment horizontal="left" vertical="center" wrapText="1" shrinkToFit="1"/>
      <protection locked="0"/>
    </xf>
    <xf numFmtId="1" fontId="8" fillId="31" borderId="19" xfId="1" applyNumberFormat="1" applyFont="1" applyFill="1" applyBorder="1" applyAlignment="1" applyProtection="1">
      <alignment horizontal="right" vertical="center" shrinkToFit="1"/>
      <protection locked="0"/>
    </xf>
    <xf numFmtId="2" fontId="8" fillId="23" borderId="6" xfId="1" applyNumberFormat="1" applyFont="1" applyFill="1" applyBorder="1" applyAlignment="1" applyProtection="1">
      <alignment horizontal="left" vertical="center" shrinkToFit="1"/>
      <protection locked="0"/>
    </xf>
    <xf numFmtId="2" fontId="8" fillId="23" borderId="6" xfId="1" applyNumberFormat="1" applyFont="1" applyFill="1" applyBorder="1" applyAlignment="1" applyProtection="1">
      <alignment horizontal="left" vertical="center" wrapText="1" shrinkToFit="1"/>
      <protection locked="0"/>
    </xf>
    <xf numFmtId="0" fontId="8" fillId="31" borderId="40" xfId="1" applyFont="1" applyFill="1" applyBorder="1" applyAlignment="1" applyProtection="1">
      <alignment horizontal="left" vertical="center" shrinkToFit="1"/>
      <protection locked="0"/>
    </xf>
    <xf numFmtId="0" fontId="8" fillId="31" borderId="13" xfId="1" applyFont="1" applyFill="1" applyBorder="1" applyAlignment="1" applyProtection="1">
      <alignment horizontal="left" vertical="center" shrinkToFit="1"/>
      <protection locked="0"/>
    </xf>
    <xf numFmtId="2" fontId="8" fillId="23" borderId="22" xfId="1" applyNumberFormat="1" applyFont="1" applyFill="1" applyBorder="1" applyAlignment="1" applyProtection="1">
      <alignment horizontal="left" vertical="center" shrinkToFit="1"/>
      <protection locked="0"/>
    </xf>
    <xf numFmtId="2" fontId="8" fillId="23" borderId="18" xfId="1" applyNumberFormat="1" applyFont="1" applyFill="1" applyBorder="1" applyAlignment="1" applyProtection="1">
      <alignment horizontal="left" vertical="center" shrinkToFit="1"/>
      <protection locked="0"/>
    </xf>
    <xf numFmtId="2" fontId="8" fillId="23" borderId="18" xfId="1" applyNumberFormat="1" applyFont="1" applyFill="1" applyBorder="1" applyAlignment="1" applyProtection="1">
      <alignment horizontal="left" vertical="center" wrapText="1" shrinkToFit="1"/>
      <protection locked="0"/>
    </xf>
    <xf numFmtId="0" fontId="8" fillId="23" borderId="18" xfId="1" applyFont="1" applyFill="1" applyBorder="1" applyAlignment="1" applyProtection="1">
      <alignment horizontal="left" vertical="center" shrinkToFit="1"/>
      <protection locked="0"/>
    </xf>
    <xf numFmtId="1" fontId="8" fillId="23" borderId="29" xfId="1" applyNumberFormat="1" applyFont="1" applyFill="1" applyBorder="1" applyAlignment="1" applyProtection="1">
      <alignment horizontal="right" vertical="center" shrinkToFit="1"/>
      <protection locked="0"/>
    </xf>
    <xf numFmtId="0" fontId="8" fillId="23" borderId="23" xfId="1" applyFont="1" applyFill="1" applyBorder="1" applyAlignment="1" applyProtection="1">
      <alignment horizontal="left" vertical="center" shrinkToFit="1"/>
      <protection locked="0"/>
    </xf>
    <xf numFmtId="0" fontId="8" fillId="23" borderId="6" xfId="1" applyFont="1" applyFill="1" applyBorder="1" applyAlignment="1">
      <alignment horizontal="left" vertical="center" shrinkToFit="1"/>
    </xf>
    <xf numFmtId="1" fontId="8" fillId="23" borderId="24" xfId="1" applyNumberFormat="1" applyFont="1" applyFill="1" applyBorder="1" applyAlignment="1">
      <alignment horizontal="right" vertical="center" shrinkToFit="1"/>
    </xf>
    <xf numFmtId="0" fontId="8" fillId="23" borderId="56" xfId="1" applyFont="1" applyFill="1" applyBorder="1" applyAlignment="1" applyProtection="1">
      <alignment horizontal="left" vertical="center" shrinkToFit="1"/>
      <protection locked="0"/>
    </xf>
    <xf numFmtId="2" fontId="8" fillId="23" borderId="27" xfId="1" applyNumberFormat="1" applyFont="1" applyFill="1" applyBorder="1" applyAlignment="1" applyProtection="1">
      <alignment horizontal="left" vertical="center" shrinkToFit="1"/>
      <protection locked="0"/>
    </xf>
    <xf numFmtId="2" fontId="8" fillId="23" borderId="27" xfId="1" applyNumberFormat="1" applyFont="1" applyFill="1" applyBorder="1" applyAlignment="1" applyProtection="1">
      <alignment horizontal="left" vertical="center" wrapText="1" shrinkToFit="1"/>
      <protection locked="0"/>
    </xf>
    <xf numFmtId="0" fontId="8" fillId="23" borderId="27" xfId="1" applyFont="1" applyFill="1" applyBorder="1" applyAlignment="1" applyProtection="1">
      <alignment horizontal="left" vertical="center" shrinkToFit="1"/>
      <protection locked="0"/>
    </xf>
    <xf numFmtId="1" fontId="8" fillId="23" borderId="28" xfId="1" applyNumberFormat="1" applyFont="1" applyFill="1" applyBorder="1" applyAlignment="1">
      <alignment horizontal="right" vertical="center" shrinkToFit="1"/>
    </xf>
    <xf numFmtId="0" fontId="8" fillId="23" borderId="16" xfId="1" applyFont="1" applyFill="1" applyBorder="1" applyAlignment="1" applyProtection="1">
      <alignment horizontal="left" vertical="center" shrinkToFit="1"/>
      <protection locked="0"/>
    </xf>
    <xf numFmtId="2" fontId="8" fillId="23" borderId="47" xfId="1" applyNumberFormat="1" applyFont="1" applyFill="1" applyBorder="1" applyAlignment="1" applyProtection="1">
      <alignment horizontal="left" vertical="center" shrinkToFit="1"/>
      <protection locked="0"/>
    </xf>
    <xf numFmtId="2" fontId="8" fillId="23" borderId="47" xfId="1" applyNumberFormat="1" applyFont="1" applyFill="1" applyBorder="1" applyAlignment="1" applyProtection="1">
      <alignment horizontal="left" vertical="center" wrapText="1" shrinkToFit="1"/>
      <protection locked="0"/>
    </xf>
    <xf numFmtId="0" fontId="8" fillId="23" borderId="47" xfId="1" applyFont="1" applyFill="1" applyBorder="1" applyAlignment="1" applyProtection="1">
      <alignment horizontal="left" vertical="center" shrinkToFit="1"/>
      <protection locked="0"/>
    </xf>
    <xf numFmtId="1" fontId="8" fillId="23" borderId="66" xfId="1" applyNumberFormat="1" applyFont="1" applyFill="1" applyBorder="1" applyAlignment="1" applyProtection="1">
      <alignment horizontal="right" vertical="center" shrinkToFit="1"/>
      <protection locked="0"/>
    </xf>
    <xf numFmtId="0" fontId="10" fillId="28" borderId="20" xfId="1" applyFont="1" applyFill="1" applyBorder="1" applyAlignment="1" applyProtection="1">
      <alignment horizontal="left" vertical="center" wrapText="1"/>
      <protection locked="0"/>
    </xf>
    <xf numFmtId="1" fontId="10" fillId="29" borderId="67" xfId="1" applyNumberFormat="1" applyFont="1" applyFill="1" applyBorder="1" applyAlignment="1" applyProtection="1">
      <alignment horizontal="left" vertical="center" wrapText="1"/>
      <protection locked="0"/>
    </xf>
    <xf numFmtId="0" fontId="8" fillId="35" borderId="58" xfId="0" applyFont="1" applyFill="1" applyBorder="1" applyAlignment="1">
      <alignment horizontal="left" vertical="center" wrapText="1"/>
    </xf>
    <xf numFmtId="0" fontId="8" fillId="35" borderId="59" xfId="0" applyFont="1" applyFill="1" applyBorder="1" applyAlignment="1">
      <alignment horizontal="left" vertical="center" wrapText="1"/>
    </xf>
    <xf numFmtId="0" fontId="17" fillId="29" borderId="59" xfId="0" applyFont="1" applyFill="1" applyBorder="1" applyAlignment="1">
      <alignment horizontal="left" vertical="center" wrapText="1"/>
    </xf>
    <xf numFmtId="0" fontId="17" fillId="29" borderId="60" xfId="0" applyFont="1" applyFill="1" applyBorder="1" applyAlignment="1">
      <alignment horizontal="right" vertical="center" wrapText="1"/>
    </xf>
    <xf numFmtId="0" fontId="8" fillId="35" borderId="61" xfId="0" applyFont="1" applyFill="1" applyBorder="1" applyAlignment="1">
      <alignment horizontal="left" vertical="center" wrapText="1"/>
    </xf>
    <xf numFmtId="0" fontId="8" fillId="35" borderId="6" xfId="0" applyFont="1" applyFill="1" applyBorder="1" applyAlignment="1">
      <alignment horizontal="left" vertical="center" wrapText="1"/>
    </xf>
    <xf numFmtId="0" fontId="17" fillId="29" borderId="6" xfId="0" applyFont="1" applyFill="1" applyBorder="1" applyAlignment="1">
      <alignment horizontal="left" vertical="center" wrapText="1"/>
    </xf>
    <xf numFmtId="0" fontId="17" fillId="29" borderId="62" xfId="0" applyFont="1" applyFill="1" applyBorder="1" applyAlignment="1">
      <alignment horizontal="right" vertical="center" wrapText="1"/>
    </xf>
    <xf numFmtId="0" fontId="8" fillId="35" borderId="63" xfId="0" applyFont="1" applyFill="1" applyBorder="1" applyAlignment="1">
      <alignment horizontal="left" vertical="center" wrapText="1"/>
    </xf>
    <xf numFmtId="0" fontId="8" fillId="35" borderId="64" xfId="0" applyFont="1" applyFill="1" applyBorder="1" applyAlignment="1">
      <alignment horizontal="left" vertical="center" wrapText="1"/>
    </xf>
    <xf numFmtId="0" fontId="17" fillId="29" borderId="64" xfId="0" applyFont="1" applyFill="1" applyBorder="1" applyAlignment="1">
      <alignment horizontal="left" vertical="center" wrapText="1"/>
    </xf>
    <xf numFmtId="0" fontId="17" fillId="29" borderId="65" xfId="0" applyFont="1" applyFill="1" applyBorder="1" applyAlignment="1">
      <alignment horizontal="right" vertical="center" wrapText="1"/>
    </xf>
    <xf numFmtId="1" fontId="10" fillId="29" borderId="161" xfId="1" applyNumberFormat="1" applyFont="1" applyFill="1" applyBorder="1" applyAlignment="1">
      <alignment horizontal="left" vertical="center" wrapText="1"/>
    </xf>
    <xf numFmtId="1" fontId="10" fillId="29" borderId="123" xfId="1" applyNumberFormat="1" applyFont="1" applyFill="1" applyBorder="1" applyAlignment="1">
      <alignment horizontal="left" vertical="center" wrapText="1"/>
    </xf>
    <xf numFmtId="1" fontId="10" fillId="29" borderId="162" xfId="1" applyNumberFormat="1" applyFont="1" applyFill="1" applyBorder="1" applyAlignment="1">
      <alignment horizontal="left" vertical="center" wrapText="1"/>
    </xf>
    <xf numFmtId="1" fontId="10" fillId="29" borderId="133" xfId="1" applyNumberFormat="1" applyFont="1" applyFill="1" applyBorder="1" applyAlignment="1">
      <alignment horizontal="left" vertical="center" wrapText="1"/>
    </xf>
    <xf numFmtId="49" fontId="8" fillId="29" borderId="165" xfId="1" applyNumberFormat="1" applyFont="1" applyFill="1" applyBorder="1" applyAlignment="1">
      <alignment horizontal="left" vertical="center" wrapText="1"/>
    </xf>
    <xf numFmtId="1" fontId="8" fillId="29" borderId="165" xfId="1" applyNumberFormat="1" applyFont="1" applyFill="1" applyBorder="1" applyAlignment="1">
      <alignment horizontal="right" vertical="center" shrinkToFit="1"/>
    </xf>
    <xf numFmtId="49" fontId="8" fillId="29" borderId="49" xfId="1" applyNumberFormat="1" applyFont="1" applyFill="1" applyBorder="1" applyAlignment="1">
      <alignment horizontal="left" vertical="center" wrapText="1"/>
    </xf>
    <xf numFmtId="1" fontId="8" fillId="29" borderId="49" xfId="1" applyNumberFormat="1" applyFont="1" applyFill="1" applyBorder="1" applyAlignment="1">
      <alignment horizontal="right" vertical="center" shrinkToFit="1"/>
    </xf>
    <xf numFmtId="2" fontId="8" fillId="29" borderId="165" xfId="1" applyNumberFormat="1" applyFont="1" applyFill="1" applyBorder="1" applyAlignment="1">
      <alignment horizontal="left" vertical="center" shrinkToFit="1"/>
    </xf>
    <xf numFmtId="2" fontId="8" fillId="29" borderId="165" xfId="1" applyNumberFormat="1" applyFont="1" applyFill="1" applyBorder="1" applyAlignment="1">
      <alignment horizontal="left" vertical="center" wrapText="1" shrinkToFit="1"/>
    </xf>
    <xf numFmtId="49" fontId="8" fillId="29" borderId="165" xfId="1" applyNumberFormat="1" applyFont="1" applyFill="1" applyBorder="1" applyAlignment="1">
      <alignment horizontal="left" vertical="center" wrapText="1" shrinkToFit="1"/>
    </xf>
    <xf numFmtId="1" fontId="8" fillId="29" borderId="165" xfId="1" applyNumberFormat="1" applyFont="1" applyFill="1" applyBorder="1" applyAlignment="1">
      <alignment horizontal="right" vertical="center" wrapText="1"/>
    </xf>
    <xf numFmtId="1" fontId="10" fillId="29" borderId="134" xfId="1" applyNumberFormat="1" applyFont="1" applyFill="1" applyBorder="1" applyAlignment="1">
      <alignment horizontal="left" vertical="center" wrapText="1"/>
    </xf>
    <xf numFmtId="1" fontId="10" fillId="29" borderId="135" xfId="1" applyNumberFormat="1" applyFont="1" applyFill="1" applyBorder="1" applyAlignment="1">
      <alignment horizontal="left" vertical="center" wrapText="1"/>
    </xf>
    <xf numFmtId="1" fontId="10" fillId="29" borderId="136" xfId="1" applyNumberFormat="1" applyFont="1" applyFill="1" applyBorder="1" applyAlignment="1">
      <alignment horizontal="left" vertical="center" wrapText="1"/>
    </xf>
    <xf numFmtId="165" fontId="10" fillId="36" borderId="12" xfId="1" applyNumberFormat="1" applyFont="1" applyFill="1" applyBorder="1" applyAlignment="1" applyProtection="1">
      <alignment horizontal="left" vertical="center" wrapText="1"/>
      <protection locked="0"/>
    </xf>
    <xf numFmtId="0" fontId="10" fillId="36" borderId="13" xfId="1" applyFont="1" applyFill="1" applyBorder="1" applyAlignment="1" applyProtection="1">
      <alignment horizontal="left" vertical="center" wrapText="1"/>
      <protection locked="0"/>
    </xf>
    <xf numFmtId="165" fontId="8" fillId="36" borderId="17" xfId="1" applyNumberFormat="1" applyFont="1" applyFill="1" applyBorder="1" applyAlignment="1">
      <alignment horizontal="left" vertical="center" wrapText="1"/>
    </xf>
    <xf numFmtId="0" fontId="8" fillId="36" borderId="14" xfId="1" applyFont="1" applyFill="1" applyBorder="1" applyAlignment="1">
      <alignment horizontal="left" vertical="center" wrapText="1"/>
    </xf>
    <xf numFmtId="0" fontId="10" fillId="36" borderId="19" xfId="1" applyFont="1" applyFill="1" applyBorder="1" applyAlignment="1" applyProtection="1">
      <alignment horizontal="left" vertical="center" wrapText="1"/>
      <protection locked="0"/>
    </xf>
    <xf numFmtId="2" fontId="8" fillId="36" borderId="14" xfId="1" applyNumberFormat="1" applyFont="1" applyFill="1" applyBorder="1" applyAlignment="1">
      <alignment horizontal="right" vertical="center"/>
    </xf>
    <xf numFmtId="0" fontId="8" fillId="36" borderId="14" xfId="1" applyFont="1" applyFill="1" applyBorder="1" applyAlignment="1" applyProtection="1">
      <alignment horizontal="left" vertical="center" wrapText="1"/>
      <protection locked="0"/>
    </xf>
    <xf numFmtId="0" fontId="8" fillId="36" borderId="48" xfId="1" applyFont="1" applyFill="1" applyBorder="1" applyAlignment="1" applyProtection="1">
      <alignment horizontal="left" vertical="center" wrapText="1"/>
      <protection locked="0"/>
    </xf>
    <xf numFmtId="165" fontId="8" fillId="36" borderId="17" xfId="1" applyNumberFormat="1" applyFont="1" applyFill="1" applyBorder="1" applyAlignment="1" applyProtection="1">
      <alignment horizontal="left" vertical="center" wrapText="1"/>
      <protection locked="0"/>
    </xf>
    <xf numFmtId="0" fontId="10" fillId="36" borderId="14" xfId="1" applyFont="1" applyFill="1" applyBorder="1" applyAlignment="1">
      <alignment horizontal="left" vertical="center" wrapText="1"/>
    </xf>
    <xf numFmtId="0" fontId="10" fillId="36" borderId="19" xfId="1" applyFont="1" applyFill="1" applyBorder="1" applyAlignment="1">
      <alignment horizontal="left" vertical="center" wrapText="1"/>
    </xf>
    <xf numFmtId="2" fontId="8" fillId="36" borderId="14" xfId="1" applyNumberFormat="1" applyFont="1" applyFill="1" applyBorder="1" applyAlignment="1" applyProtection="1">
      <alignment horizontal="right" vertical="center" wrapText="1"/>
      <protection locked="0"/>
    </xf>
    <xf numFmtId="0" fontId="10" fillId="36" borderId="12" xfId="1" applyFont="1" applyFill="1" applyBorder="1" applyAlignment="1" applyProtection="1">
      <alignment horizontal="left" vertical="center" wrapText="1"/>
      <protection locked="0"/>
    </xf>
    <xf numFmtId="0" fontId="10" fillId="36" borderId="47" xfId="1" applyFont="1" applyFill="1" applyBorder="1" applyAlignment="1" applyProtection="1">
      <alignment horizontal="left" vertical="center" wrapText="1"/>
      <protection locked="0"/>
    </xf>
    <xf numFmtId="0" fontId="10" fillId="36" borderId="51" xfId="1" applyFont="1" applyFill="1" applyBorder="1" applyAlignment="1" applyProtection="1">
      <alignment horizontal="left" vertical="center" wrapText="1"/>
      <protection locked="0"/>
    </xf>
    <xf numFmtId="0" fontId="10" fillId="34" borderId="20" xfId="1" applyFont="1" applyFill="1" applyBorder="1" applyAlignment="1" applyProtection="1">
      <alignment horizontal="left" vertical="center" wrapText="1"/>
      <protection locked="0"/>
    </xf>
    <xf numFmtId="0" fontId="10" fillId="34" borderId="39" xfId="1" applyFont="1" applyFill="1" applyBorder="1" applyAlignment="1" applyProtection="1">
      <alignment horizontal="left" vertical="center" wrapText="1"/>
      <protection locked="0"/>
    </xf>
    <xf numFmtId="0" fontId="8" fillId="37" borderId="21" xfId="0" applyFont="1" applyFill="1" applyBorder="1" applyAlignment="1">
      <alignment horizontal="left" vertical="center" wrapText="1"/>
    </xf>
    <xf numFmtId="0" fontId="8" fillId="37" borderId="18" xfId="0" applyFont="1" applyFill="1" applyBorder="1" applyAlignment="1">
      <alignment horizontal="left" vertical="center" wrapText="1"/>
    </xf>
    <xf numFmtId="0" fontId="17" fillId="38" borderId="18" xfId="0" applyFont="1" applyFill="1" applyBorder="1" applyAlignment="1">
      <alignment horizontal="left" vertical="center" wrapText="1"/>
    </xf>
    <xf numFmtId="0" fontId="17" fillId="38" borderId="29" xfId="0" applyFont="1" applyFill="1" applyBorder="1" applyAlignment="1">
      <alignment horizontal="right" vertical="center" wrapText="1"/>
    </xf>
    <xf numFmtId="0" fontId="8" fillId="37" borderId="8" xfId="0" applyFont="1" applyFill="1" applyBorder="1" applyAlignment="1">
      <alignment horizontal="left" vertical="center" wrapText="1"/>
    </xf>
    <xf numFmtId="0" fontId="8" fillId="37" borderId="6" xfId="0" applyFont="1" applyFill="1" applyBorder="1" applyAlignment="1">
      <alignment horizontal="left" vertical="center" wrapText="1"/>
    </xf>
    <xf numFmtId="0" fontId="17" fillId="38" borderId="6" xfId="0" applyFont="1" applyFill="1" applyBorder="1" applyAlignment="1">
      <alignment horizontal="left" vertical="center" wrapText="1"/>
    </xf>
    <xf numFmtId="0" fontId="17" fillId="38" borderId="24" xfId="0" applyFont="1" applyFill="1" applyBorder="1" applyAlignment="1">
      <alignment horizontal="right" vertical="center" wrapText="1"/>
    </xf>
    <xf numFmtId="0" fontId="8" fillId="37" borderId="31" xfId="0" applyFont="1" applyFill="1" applyBorder="1" applyAlignment="1">
      <alignment horizontal="left" vertical="center" wrapText="1"/>
    </xf>
    <xf numFmtId="0" fontId="8" fillId="37" borderId="25" xfId="0" applyFont="1" applyFill="1" applyBorder="1" applyAlignment="1">
      <alignment horizontal="left" vertical="center" wrapText="1"/>
    </xf>
    <xf numFmtId="0" fontId="17" fillId="38" borderId="25" xfId="0" applyFont="1" applyFill="1" applyBorder="1" applyAlignment="1">
      <alignment horizontal="left" vertical="center" wrapText="1"/>
    </xf>
    <xf numFmtId="0" fontId="17" fillId="38" borderId="57" xfId="0" applyFont="1" applyFill="1" applyBorder="1" applyAlignment="1">
      <alignment horizontal="right" vertical="center" wrapText="1"/>
    </xf>
    <xf numFmtId="0" fontId="23" fillId="38" borderId="42" xfId="0" applyFont="1" applyFill="1" applyBorder="1" applyAlignment="1">
      <alignment horizontal="left" vertical="center" wrapText="1"/>
    </xf>
    <xf numFmtId="0" fontId="17" fillId="38" borderId="42" xfId="0" applyFont="1" applyFill="1" applyBorder="1" applyAlignment="1">
      <alignment horizontal="left" vertical="center" wrapText="1"/>
    </xf>
    <xf numFmtId="0" fontId="17" fillId="38" borderId="81" xfId="0" applyFont="1" applyFill="1" applyBorder="1" applyAlignment="1">
      <alignment horizontal="right" vertical="center" wrapText="1"/>
    </xf>
    <xf numFmtId="0" fontId="23" fillId="38" borderId="41" xfId="0" applyFont="1" applyFill="1" applyBorder="1" applyAlignment="1">
      <alignment horizontal="left" vertical="center" wrapText="1"/>
    </xf>
    <xf numFmtId="0" fontId="17" fillId="38" borderId="41" xfId="0" applyFont="1" applyFill="1" applyBorder="1" applyAlignment="1">
      <alignment horizontal="left" vertical="center" wrapText="1"/>
    </xf>
    <xf numFmtId="0" fontId="17" fillId="38" borderId="74" xfId="0" applyFont="1" applyFill="1" applyBorder="1" applyAlignment="1">
      <alignment horizontal="right" vertical="center" wrapText="1"/>
    </xf>
    <xf numFmtId="2" fontId="8" fillId="38" borderId="165" xfId="1" applyNumberFormat="1" applyFont="1" applyFill="1" applyBorder="1" applyAlignment="1">
      <alignment horizontal="left" vertical="center" shrinkToFit="1"/>
    </xf>
    <xf numFmtId="2" fontId="8" fillId="38" borderId="165" xfId="1" applyNumberFormat="1" applyFont="1" applyFill="1" applyBorder="1" applyAlignment="1">
      <alignment horizontal="left" vertical="center" wrapText="1" shrinkToFit="1"/>
    </xf>
    <xf numFmtId="1" fontId="8" fillId="38" borderId="165" xfId="1" applyNumberFormat="1" applyFont="1" applyFill="1" applyBorder="1" applyAlignment="1">
      <alignment horizontal="right" vertical="center" shrinkToFit="1"/>
    </xf>
    <xf numFmtId="49" fontId="8" fillId="38" borderId="165" xfId="1" applyNumberFormat="1" applyFont="1" applyFill="1" applyBorder="1" applyAlignment="1">
      <alignment horizontal="left" vertical="center" wrapText="1" shrinkToFit="1"/>
    </xf>
    <xf numFmtId="1" fontId="8" fillId="38" borderId="165" xfId="1" applyNumberFormat="1" applyFont="1" applyFill="1" applyBorder="1" applyAlignment="1">
      <alignment horizontal="right" vertical="center" wrapText="1"/>
    </xf>
    <xf numFmtId="2" fontId="8" fillId="38" borderId="49" xfId="1" applyNumberFormat="1" applyFont="1" applyFill="1" applyBorder="1" applyAlignment="1">
      <alignment horizontal="left" vertical="center" shrinkToFit="1"/>
    </xf>
    <xf numFmtId="2" fontId="8" fillId="38" borderId="49" xfId="1" applyNumberFormat="1" applyFont="1" applyFill="1" applyBorder="1" applyAlignment="1">
      <alignment horizontal="left" vertical="center" wrapText="1" shrinkToFit="1"/>
    </xf>
    <xf numFmtId="1" fontId="8" fillId="38" borderId="49" xfId="1" applyNumberFormat="1" applyFont="1" applyFill="1" applyBorder="1" applyAlignment="1">
      <alignment horizontal="right" vertical="center" shrinkToFit="1"/>
    </xf>
    <xf numFmtId="49" fontId="8" fillId="38" borderId="49" xfId="1" applyNumberFormat="1" applyFont="1" applyFill="1" applyBorder="1" applyAlignment="1">
      <alignment horizontal="left" vertical="center" wrapText="1" shrinkToFit="1"/>
    </xf>
    <xf numFmtId="1" fontId="8" fillId="38" borderId="49" xfId="1" applyNumberFormat="1" applyFont="1" applyFill="1" applyBorder="1" applyAlignment="1">
      <alignment horizontal="right" vertical="center" wrapText="1"/>
    </xf>
    <xf numFmtId="0" fontId="17" fillId="38" borderId="80" xfId="0" applyFont="1" applyFill="1" applyBorder="1" applyAlignment="1">
      <alignment horizontal="left" vertical="center" wrapText="1"/>
    </xf>
    <xf numFmtId="0" fontId="17" fillId="38" borderId="82" xfId="0" applyFont="1" applyFill="1" applyBorder="1" applyAlignment="1">
      <alignment horizontal="left" vertical="center" wrapText="1"/>
    </xf>
    <xf numFmtId="0" fontId="17" fillId="38" borderId="83" xfId="0" applyFont="1" applyFill="1" applyBorder="1" applyAlignment="1">
      <alignment horizontal="left" vertical="center" wrapText="1"/>
    </xf>
    <xf numFmtId="0" fontId="23" fillId="38" borderId="99" xfId="0" applyFont="1" applyFill="1" applyBorder="1" applyAlignment="1">
      <alignment horizontal="left" vertical="center" wrapText="1"/>
    </xf>
    <xf numFmtId="0" fontId="17" fillId="38" borderId="99" xfId="0" applyFont="1" applyFill="1" applyBorder="1" applyAlignment="1">
      <alignment horizontal="left" vertical="center" wrapText="1"/>
    </xf>
    <xf numFmtId="0" fontId="17" fillId="38" borderId="76" xfId="0" applyFont="1" applyFill="1" applyBorder="1" applyAlignment="1">
      <alignment horizontal="right" vertical="center" wrapText="1"/>
    </xf>
    <xf numFmtId="2" fontId="17" fillId="0" borderId="29" xfId="9" applyNumberFormat="1" applyFont="1" applyBorder="1" applyAlignment="1">
      <alignment horizontal="left" vertical="top" wrapText="1"/>
    </xf>
    <xf numFmtId="0" fontId="17" fillId="0" borderId="29" xfId="9" applyFont="1" applyBorder="1" applyAlignment="1">
      <alignment horizontal="left" vertical="top" wrapText="1"/>
    </xf>
    <xf numFmtId="0" fontId="17" fillId="15" borderId="26" xfId="9" applyFont="1" applyFill="1" applyBorder="1" applyAlignment="1">
      <alignment horizontal="left" vertical="center"/>
    </xf>
    <xf numFmtId="0" fontId="17" fillId="0" borderId="28" xfId="9" applyFont="1" applyBorder="1" applyAlignment="1">
      <alignment horizontal="left" vertical="center" wrapText="1"/>
    </xf>
    <xf numFmtId="0" fontId="17" fillId="15" borderId="26" xfId="9" applyFont="1" applyFill="1" applyBorder="1" applyAlignment="1">
      <alignment horizontal="left" vertical="center" wrapText="1"/>
    </xf>
    <xf numFmtId="49" fontId="6" fillId="0" borderId="0" xfId="2" applyNumberFormat="1" applyAlignment="1" applyProtection="1"/>
    <xf numFmtId="49" fontId="0" fillId="0" borderId="0" xfId="0" applyNumberFormat="1"/>
    <xf numFmtId="0" fontId="10" fillId="34" borderId="39" xfId="10" applyFont="1" applyFill="1" applyBorder="1" applyAlignment="1" applyProtection="1">
      <alignment horizontal="left" vertical="center" wrapText="1"/>
      <protection locked="0"/>
    </xf>
    <xf numFmtId="1" fontId="10" fillId="0" borderId="9" xfId="10" applyNumberFormat="1" applyFont="1" applyBorder="1" applyAlignment="1" applyProtection="1">
      <alignment horizontal="left" vertical="center" wrapText="1"/>
      <protection locked="0"/>
    </xf>
    <xf numFmtId="1" fontId="10" fillId="0" borderId="10" xfId="10" applyNumberFormat="1" applyFont="1" applyBorder="1" applyAlignment="1" applyProtection="1">
      <alignment horizontal="left" vertical="center" wrapText="1"/>
      <protection locked="0"/>
    </xf>
    <xf numFmtId="1" fontId="10" fillId="36" borderId="16" xfId="10" applyNumberFormat="1" applyFont="1" applyFill="1" applyBorder="1" applyAlignment="1" applyProtection="1">
      <alignment horizontal="left" vertical="center" wrapText="1"/>
      <protection locked="0"/>
    </xf>
    <xf numFmtId="1" fontId="10" fillId="36" borderId="47" xfId="10" applyNumberFormat="1" applyFont="1" applyFill="1" applyBorder="1" applyAlignment="1" applyProtection="1">
      <alignment horizontal="left" vertical="center" wrapText="1"/>
      <protection locked="0"/>
    </xf>
    <xf numFmtId="1" fontId="10" fillId="36" borderId="66" xfId="10" applyNumberFormat="1" applyFont="1" applyFill="1" applyBorder="1" applyAlignment="1" applyProtection="1">
      <alignment horizontal="left" vertical="center" wrapText="1"/>
      <protection locked="0"/>
    </xf>
    <xf numFmtId="0" fontId="8" fillId="40" borderId="22" xfId="10" applyFont="1" applyFill="1" applyBorder="1" applyAlignment="1">
      <alignment horizontal="left" vertical="center" shrinkToFit="1"/>
    </xf>
    <xf numFmtId="0" fontId="8" fillId="40" borderId="18" xfId="10" applyFont="1" applyFill="1" applyBorder="1" applyAlignment="1" applyProtection="1">
      <alignment horizontal="left" vertical="center" wrapText="1" shrinkToFit="1"/>
      <protection locked="0"/>
    </xf>
    <xf numFmtId="49" fontId="8" fillId="40" borderId="18" xfId="10" applyNumberFormat="1" applyFont="1" applyFill="1" applyBorder="1" applyAlignment="1" applyProtection="1">
      <alignment horizontal="left" vertical="center" wrapText="1" shrinkToFit="1"/>
      <protection locked="0"/>
    </xf>
    <xf numFmtId="0" fontId="8" fillId="40" borderId="18" xfId="10" applyFont="1" applyFill="1" applyBorder="1" applyAlignment="1" applyProtection="1">
      <alignment horizontal="left" vertical="center" shrinkToFit="1"/>
      <protection locked="0"/>
    </xf>
    <xf numFmtId="1" fontId="8" fillId="40" borderId="29" xfId="10" applyNumberFormat="1" applyFont="1" applyFill="1" applyBorder="1" applyAlignment="1" applyProtection="1">
      <alignment horizontal="right" vertical="center" shrinkToFit="1"/>
      <protection locked="0"/>
    </xf>
    <xf numFmtId="2" fontId="8" fillId="15" borderId="22" xfId="10" applyNumberFormat="1" applyFont="1" applyFill="1" applyBorder="1" applyAlignment="1" applyProtection="1">
      <alignment horizontal="right" vertical="center" shrinkToFit="1"/>
      <protection locked="0"/>
    </xf>
    <xf numFmtId="2" fontId="8" fillId="7" borderId="18" xfId="10" applyNumberFormat="1" applyFont="1" applyFill="1" applyBorder="1" applyAlignment="1" applyProtection="1">
      <alignment horizontal="right" vertical="center" shrinkToFit="1"/>
      <protection locked="0"/>
    </xf>
    <xf numFmtId="2" fontId="8" fillId="7" borderId="29" xfId="10" applyNumberFormat="1" applyFont="1" applyFill="1" applyBorder="1" applyAlignment="1" applyProtection="1">
      <alignment horizontal="right" vertical="center" shrinkToFit="1"/>
      <protection locked="0"/>
    </xf>
    <xf numFmtId="2" fontId="17" fillId="0" borderId="0" xfId="9" applyNumberFormat="1" applyFont="1" applyAlignment="1">
      <alignment horizontal="left" vertical="center"/>
    </xf>
    <xf numFmtId="49" fontId="8" fillId="40" borderId="23" xfId="10" applyNumberFormat="1" applyFont="1" applyFill="1" applyBorder="1" applyAlignment="1" applyProtection="1">
      <alignment horizontal="left" vertical="center" shrinkToFit="1"/>
      <protection locked="0"/>
    </xf>
    <xf numFmtId="0" fontId="8" fillId="40" borderId="6" xfId="10" applyFont="1" applyFill="1" applyBorder="1" applyAlignment="1" applyProtection="1">
      <alignment horizontal="left" vertical="center" wrapText="1" shrinkToFit="1"/>
      <protection locked="0"/>
    </xf>
    <xf numFmtId="49" fontId="8" fillId="40" borderId="6" xfId="10" applyNumberFormat="1" applyFont="1" applyFill="1" applyBorder="1" applyAlignment="1" applyProtection="1">
      <alignment horizontal="left" vertical="center" wrapText="1" shrinkToFit="1"/>
      <protection locked="0"/>
    </xf>
    <xf numFmtId="0" fontId="8" fillId="40" borderId="6" xfId="10" applyFont="1" applyFill="1" applyBorder="1" applyAlignment="1" applyProtection="1">
      <alignment horizontal="left" vertical="center" shrinkToFit="1"/>
      <protection locked="0"/>
    </xf>
    <xf numFmtId="1" fontId="8" fillId="40" borderId="24" xfId="10" applyNumberFormat="1" applyFont="1" applyFill="1" applyBorder="1" applyAlignment="1" applyProtection="1">
      <alignment horizontal="right" vertical="center" shrinkToFit="1"/>
      <protection locked="0"/>
    </xf>
    <xf numFmtId="2" fontId="8" fillId="15" borderId="23" xfId="10" applyNumberFormat="1" applyFont="1" applyFill="1" applyBorder="1" applyAlignment="1" applyProtection="1">
      <alignment horizontal="right" vertical="center" shrinkToFit="1"/>
      <protection locked="0"/>
    </xf>
    <xf numFmtId="2" fontId="8" fillId="0" borderId="6" xfId="10" applyNumberFormat="1" applyFont="1" applyBorder="1" applyAlignment="1" applyProtection="1">
      <alignment horizontal="right" vertical="center" shrinkToFit="1"/>
      <protection locked="0"/>
    </xf>
    <xf numFmtId="2" fontId="8" fillId="0" borderId="24" xfId="10" applyNumberFormat="1" applyFont="1" applyBorder="1" applyAlignment="1" applyProtection="1">
      <alignment horizontal="right" vertical="center" shrinkToFit="1"/>
      <protection locked="0"/>
    </xf>
    <xf numFmtId="0" fontId="8" fillId="40" borderId="23" xfId="10" applyFont="1" applyFill="1" applyBorder="1" applyAlignment="1" applyProtection="1">
      <alignment horizontal="left" vertical="center" shrinkToFit="1"/>
      <protection locked="0"/>
    </xf>
    <xf numFmtId="2" fontId="8" fillId="7" borderId="6" xfId="10" applyNumberFormat="1" applyFont="1" applyFill="1" applyBorder="1" applyAlignment="1" applyProtection="1">
      <alignment horizontal="right" vertical="center" shrinkToFit="1"/>
      <protection locked="0"/>
    </xf>
    <xf numFmtId="2" fontId="8" fillId="7" borderId="24" xfId="10" applyNumberFormat="1" applyFont="1" applyFill="1" applyBorder="1" applyAlignment="1" applyProtection="1">
      <alignment horizontal="right" vertical="center" shrinkToFit="1"/>
      <protection locked="0"/>
    </xf>
    <xf numFmtId="2" fontId="8" fillId="40" borderId="6" xfId="10" applyNumberFormat="1" applyFont="1" applyFill="1" applyBorder="1" applyAlignment="1">
      <alignment horizontal="left" vertical="center" wrapText="1"/>
    </xf>
    <xf numFmtId="2" fontId="8" fillId="3" borderId="23" xfId="10" applyNumberFormat="1" applyFont="1" applyFill="1" applyBorder="1" applyAlignment="1" applyProtection="1">
      <alignment horizontal="right" vertical="center" shrinkToFit="1"/>
      <protection locked="0"/>
    </xf>
    <xf numFmtId="2" fontId="8" fillId="3" borderId="24" xfId="10" applyNumberFormat="1" applyFont="1" applyFill="1" applyBorder="1" applyAlignment="1" applyProtection="1">
      <alignment horizontal="right" vertical="center" shrinkToFit="1"/>
      <protection locked="0"/>
    </xf>
    <xf numFmtId="2" fontId="8" fillId="40" borderId="23" xfId="10" applyNumberFormat="1" applyFont="1" applyFill="1" applyBorder="1" applyAlignment="1" applyProtection="1">
      <alignment horizontal="left" vertical="center" shrinkToFit="1"/>
      <protection locked="0"/>
    </xf>
    <xf numFmtId="2" fontId="8" fillId="40" borderId="6" xfId="10" applyNumberFormat="1" applyFont="1" applyFill="1" applyBorder="1" applyAlignment="1" applyProtection="1">
      <alignment horizontal="left" vertical="center" wrapText="1" shrinkToFit="1"/>
      <protection locked="0"/>
    </xf>
    <xf numFmtId="2" fontId="8" fillId="40" borderId="6" xfId="10" applyNumberFormat="1" applyFont="1" applyFill="1" applyBorder="1" applyAlignment="1" applyProtection="1">
      <alignment horizontal="left" vertical="center" shrinkToFit="1"/>
      <protection locked="0"/>
    </xf>
    <xf numFmtId="2" fontId="8" fillId="3" borderId="6" xfId="10" applyNumberFormat="1" applyFont="1" applyFill="1" applyBorder="1" applyAlignment="1" applyProtection="1">
      <alignment horizontal="right" vertical="center" shrinkToFit="1"/>
      <protection locked="0"/>
    </xf>
    <xf numFmtId="2" fontId="8" fillId="15" borderId="6" xfId="10" applyNumberFormat="1" applyFont="1" applyFill="1" applyBorder="1" applyAlignment="1" applyProtection="1">
      <alignment horizontal="right" vertical="center" shrinkToFit="1"/>
      <protection locked="0"/>
    </xf>
    <xf numFmtId="2" fontId="8" fillId="15" borderId="24" xfId="10" applyNumberFormat="1" applyFont="1" applyFill="1" applyBorder="1" applyAlignment="1" applyProtection="1">
      <alignment horizontal="right" vertical="center" shrinkToFit="1"/>
      <protection locked="0"/>
    </xf>
    <xf numFmtId="2" fontId="8" fillId="40" borderId="56" xfId="10" applyNumberFormat="1" applyFont="1" applyFill="1" applyBorder="1" applyAlignment="1" applyProtection="1">
      <alignment horizontal="left" vertical="center" shrinkToFit="1"/>
      <protection locked="0"/>
    </xf>
    <xf numFmtId="2" fontId="8" fillId="40" borderId="27" xfId="10" applyNumberFormat="1" applyFont="1" applyFill="1" applyBorder="1" applyAlignment="1" applyProtection="1">
      <alignment horizontal="left" vertical="center" wrapText="1" shrinkToFit="1"/>
      <protection locked="0"/>
    </xf>
    <xf numFmtId="2" fontId="8" fillId="40" borderId="27" xfId="10" applyNumberFormat="1" applyFont="1" applyFill="1" applyBorder="1" applyAlignment="1" applyProtection="1">
      <alignment horizontal="left" vertical="center" shrinkToFit="1"/>
      <protection locked="0"/>
    </xf>
    <xf numFmtId="1" fontId="8" fillId="40" borderId="28" xfId="10" applyNumberFormat="1" applyFont="1" applyFill="1" applyBorder="1" applyAlignment="1" applyProtection="1">
      <alignment horizontal="right" vertical="center" shrinkToFit="1"/>
      <protection locked="0"/>
    </xf>
    <xf numFmtId="2" fontId="8" fillId="3" borderId="56" xfId="10" applyNumberFormat="1" applyFont="1" applyFill="1" applyBorder="1" applyAlignment="1" applyProtection="1">
      <alignment horizontal="right" vertical="center" shrinkToFit="1"/>
      <protection locked="0"/>
    </xf>
    <xf numFmtId="2" fontId="8" fillId="3" borderId="28" xfId="10" applyNumberFormat="1" applyFont="1" applyFill="1" applyBorder="1" applyAlignment="1" applyProtection="1">
      <alignment horizontal="right" vertical="center" shrinkToFit="1"/>
      <protection locked="0"/>
    </xf>
    <xf numFmtId="0" fontId="8" fillId="36" borderId="22" xfId="10" applyFont="1" applyFill="1" applyBorder="1" applyAlignment="1">
      <alignment horizontal="left" vertical="center" shrinkToFit="1"/>
    </xf>
    <xf numFmtId="0" fontId="8" fillId="36" borderId="18" xfId="10" applyFont="1" applyFill="1" applyBorder="1" applyAlignment="1" applyProtection="1">
      <alignment horizontal="left" vertical="center" wrapText="1" shrinkToFit="1"/>
      <protection locked="0"/>
    </xf>
    <xf numFmtId="0" fontId="8" fillId="36" borderId="23" xfId="10" applyFont="1" applyFill="1" applyBorder="1" applyAlignment="1" applyProtection="1">
      <alignment horizontal="left" vertical="center" shrinkToFit="1"/>
      <protection locked="0"/>
    </xf>
    <xf numFmtId="2" fontId="8" fillId="36" borderId="6" xfId="10" applyNumberFormat="1" applyFont="1" applyFill="1" applyBorder="1" applyAlignment="1">
      <alignment horizontal="left" vertical="center" wrapText="1"/>
    </xf>
    <xf numFmtId="49" fontId="8" fillId="36" borderId="6" xfId="10" applyNumberFormat="1" applyFont="1" applyFill="1" applyBorder="1" applyAlignment="1">
      <alignment horizontal="left" vertical="center" wrapText="1" shrinkToFit="1"/>
    </xf>
    <xf numFmtId="0" fontId="8" fillId="36" borderId="6" xfId="10" applyFont="1" applyFill="1" applyBorder="1" applyAlignment="1" applyProtection="1">
      <alignment horizontal="left" vertical="center" shrinkToFit="1"/>
      <protection locked="0"/>
    </xf>
    <xf numFmtId="1" fontId="8" fillId="36" borderId="24" xfId="10" applyNumberFormat="1" applyFont="1" applyFill="1" applyBorder="1" applyAlignment="1" applyProtection="1">
      <alignment horizontal="right" vertical="center" shrinkToFit="1"/>
      <protection locked="0"/>
    </xf>
    <xf numFmtId="166" fontId="8" fillId="15" borderId="23" xfId="10" applyNumberFormat="1" applyFont="1" applyFill="1" applyBorder="1" applyAlignment="1" applyProtection="1">
      <alignment horizontal="right" vertical="center" shrinkToFit="1"/>
      <protection locked="0"/>
    </xf>
    <xf numFmtId="166" fontId="8" fillId="0" borderId="6" xfId="10" applyNumberFormat="1" applyFont="1" applyBorder="1" applyAlignment="1" applyProtection="1">
      <alignment horizontal="right" vertical="center" shrinkToFit="1"/>
      <protection locked="0"/>
    </xf>
    <xf numFmtId="166" fontId="8" fillId="0" borderId="24" xfId="10" applyNumberFormat="1" applyFont="1" applyBorder="1" applyAlignment="1" applyProtection="1">
      <alignment horizontal="right" vertical="center" shrinkToFit="1"/>
      <protection locked="0"/>
    </xf>
    <xf numFmtId="2" fontId="8" fillId="9" borderId="23" xfId="10" applyNumberFormat="1" applyFont="1" applyFill="1" applyBorder="1" applyAlignment="1" applyProtection="1">
      <alignment horizontal="right" vertical="center" shrinkToFit="1"/>
      <protection locked="0"/>
    </xf>
    <xf numFmtId="165" fontId="8" fillId="3" borderId="24" xfId="10" applyNumberFormat="1" applyFont="1" applyFill="1" applyBorder="1" applyAlignment="1" applyProtection="1">
      <alignment horizontal="right" vertical="center" shrinkToFit="1"/>
      <protection locked="0"/>
    </xf>
    <xf numFmtId="0" fontId="8" fillId="36" borderId="6" xfId="10" applyFont="1" applyFill="1" applyBorder="1" applyAlignment="1" applyProtection="1">
      <alignment horizontal="left" vertical="center" wrapText="1" shrinkToFit="1"/>
      <protection locked="0"/>
    </xf>
    <xf numFmtId="49" fontId="8" fillId="36" borderId="6" xfId="10" applyNumberFormat="1" applyFont="1" applyFill="1" applyBorder="1" applyAlignment="1">
      <alignment horizontal="left" vertical="center" wrapText="1"/>
    </xf>
    <xf numFmtId="0" fontId="8" fillId="36" borderId="6" xfId="10" applyFont="1" applyFill="1" applyBorder="1" applyAlignment="1">
      <alignment horizontal="left" vertical="center" shrinkToFit="1"/>
    </xf>
    <xf numFmtId="1" fontId="8" fillId="36" borderId="24" xfId="10" applyNumberFormat="1" applyFont="1" applyFill="1" applyBorder="1" applyAlignment="1">
      <alignment horizontal="right" vertical="center" shrinkToFit="1"/>
    </xf>
    <xf numFmtId="165" fontId="8" fillId="3" borderId="23" xfId="10" applyNumberFormat="1" applyFont="1" applyFill="1" applyBorder="1" applyAlignment="1" applyProtection="1">
      <alignment horizontal="right" vertical="center" shrinkToFit="1"/>
      <protection locked="0"/>
    </xf>
    <xf numFmtId="165" fontId="8" fillId="3" borderId="6" xfId="10" applyNumberFormat="1" applyFont="1" applyFill="1" applyBorder="1" applyAlignment="1" applyProtection="1">
      <alignment horizontal="right" vertical="center" shrinkToFit="1"/>
      <protection locked="0"/>
    </xf>
    <xf numFmtId="0" fontId="8" fillId="36" borderId="56" xfId="10" applyFont="1" applyFill="1" applyBorder="1" applyAlignment="1" applyProtection="1">
      <alignment horizontal="left" vertical="center" shrinkToFit="1"/>
      <protection locked="0"/>
    </xf>
    <xf numFmtId="0" fontId="8" fillId="36" borderId="27" xfId="10" applyFont="1" applyFill="1" applyBorder="1" applyAlignment="1" applyProtection="1">
      <alignment horizontal="left" vertical="center" wrapText="1" shrinkToFit="1"/>
      <protection locked="0"/>
    </xf>
    <xf numFmtId="49" fontId="8" fillId="36" borderId="27" xfId="10" applyNumberFormat="1" applyFont="1" applyFill="1" applyBorder="1" applyAlignment="1" applyProtection="1">
      <alignment horizontal="left" vertical="center" wrapText="1" shrinkToFit="1"/>
      <protection locked="0"/>
    </xf>
    <xf numFmtId="0" fontId="8" fillId="36" borderId="27" xfId="10" applyFont="1" applyFill="1" applyBorder="1" applyAlignment="1" applyProtection="1">
      <alignment horizontal="left" vertical="center" shrinkToFit="1"/>
      <protection locked="0"/>
    </xf>
    <xf numFmtId="1" fontId="8" fillId="36" borderId="28" xfId="10" applyNumberFormat="1" applyFont="1" applyFill="1" applyBorder="1" applyAlignment="1" applyProtection="1">
      <alignment horizontal="right" vertical="center" shrinkToFit="1"/>
      <protection locked="0"/>
    </xf>
    <xf numFmtId="2" fontId="8" fillId="15" borderId="56" xfId="10" applyNumberFormat="1" applyFont="1" applyFill="1" applyBorder="1" applyAlignment="1" applyProtection="1">
      <alignment horizontal="right" vertical="center" shrinkToFit="1"/>
      <protection locked="0"/>
    </xf>
    <xf numFmtId="2" fontId="8" fillId="0" borderId="27" xfId="10" applyNumberFormat="1" applyFont="1" applyBorder="1" applyAlignment="1" applyProtection="1">
      <alignment horizontal="right" vertical="center" shrinkToFit="1"/>
      <protection locked="0"/>
    </xf>
    <xf numFmtId="2" fontId="8" fillId="0" borderId="28" xfId="10" applyNumberFormat="1" applyFont="1" applyBorder="1" applyAlignment="1" applyProtection="1">
      <alignment horizontal="right" vertical="center" shrinkToFit="1"/>
      <protection locked="0"/>
    </xf>
    <xf numFmtId="0" fontId="8" fillId="40" borderId="56" xfId="10" applyFont="1" applyFill="1" applyBorder="1" applyAlignment="1" applyProtection="1">
      <alignment horizontal="left" vertical="center" shrinkToFit="1"/>
      <protection locked="0"/>
    </xf>
    <xf numFmtId="0" fontId="8" fillId="40" borderId="27" xfId="10" applyFont="1" applyFill="1" applyBorder="1" applyAlignment="1" applyProtection="1">
      <alignment horizontal="left" vertical="center" wrapText="1" shrinkToFit="1"/>
      <protection locked="0"/>
    </xf>
    <xf numFmtId="49" fontId="8" fillId="40" borderId="27" xfId="10" applyNumberFormat="1" applyFont="1" applyFill="1" applyBorder="1" applyAlignment="1" applyProtection="1">
      <alignment horizontal="left" vertical="center" wrapText="1" shrinkToFit="1"/>
      <protection locked="0"/>
    </xf>
    <xf numFmtId="0" fontId="8" fillId="40" borderId="27" xfId="10" applyFont="1" applyFill="1" applyBorder="1" applyAlignment="1" applyProtection="1">
      <alignment horizontal="left" vertical="center" shrinkToFit="1"/>
      <protection locked="0"/>
    </xf>
    <xf numFmtId="2" fontId="8" fillId="3" borderId="27" xfId="10" applyNumberFormat="1" applyFont="1" applyFill="1" applyBorder="1" applyAlignment="1" applyProtection="1">
      <alignment horizontal="right" vertical="center" shrinkToFit="1"/>
      <protection locked="0"/>
    </xf>
    <xf numFmtId="49" fontId="8" fillId="36" borderId="18" xfId="10" applyNumberFormat="1" applyFont="1" applyFill="1" applyBorder="1" applyAlignment="1" applyProtection="1">
      <alignment horizontal="left" vertical="center" wrapText="1" shrinkToFit="1"/>
      <protection locked="0"/>
    </xf>
    <xf numFmtId="0" fontId="8" fillId="36" borderId="18" xfId="10" applyFont="1" applyFill="1" applyBorder="1" applyAlignment="1">
      <alignment horizontal="left" vertical="center" shrinkToFit="1"/>
    </xf>
    <xf numFmtId="1" fontId="8" fillId="36" borderId="29" xfId="10" applyNumberFormat="1" applyFont="1" applyFill="1" applyBorder="1" applyAlignment="1">
      <alignment horizontal="right" vertical="center" shrinkToFit="1"/>
    </xf>
    <xf numFmtId="2" fontId="8" fillId="15" borderId="22" xfId="10" applyNumberFormat="1" applyFont="1" applyFill="1" applyBorder="1" applyAlignment="1">
      <alignment horizontal="right" vertical="center" shrinkToFit="1"/>
    </xf>
    <xf numFmtId="2" fontId="8" fillId="7" borderId="18" xfId="10" applyNumberFormat="1" applyFont="1" applyFill="1" applyBorder="1" applyAlignment="1">
      <alignment horizontal="right" vertical="center" shrinkToFit="1"/>
    </xf>
    <xf numFmtId="2" fontId="8" fillId="7" borderId="29" xfId="10" applyNumberFormat="1" applyFont="1" applyFill="1" applyBorder="1" applyAlignment="1">
      <alignment horizontal="right" vertical="center" shrinkToFit="1"/>
    </xf>
    <xf numFmtId="49" fontId="8" fillId="36" borderId="6" xfId="10" applyNumberFormat="1" applyFont="1" applyFill="1" applyBorder="1" applyAlignment="1" applyProtection="1">
      <alignment horizontal="left" vertical="center" wrapText="1" shrinkToFit="1"/>
      <protection locked="0"/>
    </xf>
    <xf numFmtId="2" fontId="8" fillId="15" borderId="23" xfId="10" applyNumberFormat="1" applyFont="1" applyFill="1" applyBorder="1" applyAlignment="1">
      <alignment horizontal="right" vertical="center" shrinkToFit="1"/>
    </xf>
    <xf numFmtId="2" fontId="8" fillId="7" borderId="6" xfId="10" applyNumberFormat="1" applyFont="1" applyFill="1" applyBorder="1" applyAlignment="1">
      <alignment horizontal="right" vertical="center" shrinkToFit="1"/>
    </xf>
    <xf numFmtId="2" fontId="8" fillId="7" borderId="24" xfId="10" applyNumberFormat="1" applyFont="1" applyFill="1" applyBorder="1" applyAlignment="1">
      <alignment horizontal="right" vertical="center" shrinkToFit="1"/>
    </xf>
    <xf numFmtId="49" fontId="8" fillId="36" borderId="23" xfId="10" applyNumberFormat="1" applyFont="1" applyFill="1" applyBorder="1" applyAlignment="1" applyProtection="1">
      <alignment horizontal="left" vertical="center" shrinkToFit="1"/>
      <protection locked="0"/>
    </xf>
    <xf numFmtId="0" fontId="8" fillId="36" borderId="6" xfId="10" applyFont="1" applyFill="1" applyBorder="1" applyAlignment="1">
      <alignment horizontal="left" vertical="center" wrapText="1" shrinkToFit="1"/>
    </xf>
    <xf numFmtId="49" fontId="8" fillId="39" borderId="6" xfId="10" applyNumberFormat="1" applyFont="1" applyFill="1" applyBorder="1" applyAlignment="1" applyProtection="1">
      <alignment horizontal="left" vertical="center" wrapText="1" shrinkToFit="1"/>
      <protection locked="0"/>
    </xf>
    <xf numFmtId="0" fontId="8" fillId="39" borderId="6" xfId="10" applyFont="1" applyFill="1" applyBorder="1" applyAlignment="1">
      <alignment horizontal="left" vertical="center" shrinkToFit="1"/>
    </xf>
    <xf numFmtId="1" fontId="8" fillId="39" borderId="24" xfId="10" applyNumberFormat="1" applyFont="1" applyFill="1" applyBorder="1" applyAlignment="1">
      <alignment horizontal="right" vertical="center" shrinkToFit="1"/>
    </xf>
    <xf numFmtId="0" fontId="8" fillId="36" borderId="56" xfId="10" applyFont="1" applyFill="1" applyBorder="1" applyAlignment="1">
      <alignment horizontal="left" vertical="center" shrinkToFit="1"/>
    </xf>
    <xf numFmtId="2" fontId="8" fillId="36" borderId="27" xfId="10" applyNumberFormat="1" applyFont="1" applyFill="1" applyBorder="1" applyAlignment="1" applyProtection="1">
      <alignment horizontal="left" vertical="center" wrapText="1" shrinkToFit="1"/>
      <protection locked="0"/>
    </xf>
    <xf numFmtId="49" fontId="8" fillId="36" borderId="27" xfId="10" applyNumberFormat="1" applyFont="1" applyFill="1" applyBorder="1" applyAlignment="1">
      <alignment horizontal="left" vertical="center" wrapText="1" shrinkToFit="1"/>
    </xf>
    <xf numFmtId="0" fontId="8" fillId="36" borderId="27" xfId="10" applyFont="1" applyFill="1" applyBorder="1" applyAlignment="1">
      <alignment horizontal="left" vertical="center" shrinkToFit="1"/>
    </xf>
    <xf numFmtId="1" fontId="8" fillId="36" borderId="28" xfId="10" applyNumberFormat="1" applyFont="1" applyFill="1" applyBorder="1" applyAlignment="1">
      <alignment horizontal="right" vertical="center" shrinkToFit="1"/>
    </xf>
    <xf numFmtId="0" fontId="8" fillId="40" borderId="18" xfId="10" applyFont="1" applyFill="1" applyBorder="1" applyAlignment="1">
      <alignment horizontal="left" vertical="center" shrinkToFit="1"/>
    </xf>
    <xf numFmtId="1" fontId="8" fillId="40" borderId="29" xfId="10" applyNumberFormat="1" applyFont="1" applyFill="1" applyBorder="1" applyAlignment="1">
      <alignment horizontal="right" vertical="center" shrinkToFit="1"/>
    </xf>
    <xf numFmtId="0" fontId="8" fillId="40" borderId="6" xfId="10" applyFont="1" applyFill="1" applyBorder="1" applyAlignment="1">
      <alignment horizontal="left" vertical="center" shrinkToFit="1"/>
    </xf>
    <xf numFmtId="1" fontId="8" fillId="40" borderId="24" xfId="10" applyNumberFormat="1" applyFont="1" applyFill="1" applyBorder="1" applyAlignment="1">
      <alignment horizontal="right" vertical="center" shrinkToFit="1"/>
    </xf>
    <xf numFmtId="0" fontId="8" fillId="40" borderId="6" xfId="10" applyFont="1" applyFill="1" applyBorder="1" applyAlignment="1">
      <alignment horizontal="left" vertical="center" wrapText="1" shrinkToFit="1"/>
    </xf>
    <xf numFmtId="0" fontId="8" fillId="40" borderId="23" xfId="10" applyFont="1" applyFill="1" applyBorder="1" applyAlignment="1">
      <alignment horizontal="left" vertical="center" shrinkToFit="1"/>
    </xf>
    <xf numFmtId="49" fontId="8" fillId="40" borderId="6" xfId="10" applyNumberFormat="1" applyFont="1" applyFill="1" applyBorder="1" applyAlignment="1">
      <alignment horizontal="left" vertical="center" wrapText="1" shrinkToFit="1"/>
    </xf>
    <xf numFmtId="166" fontId="8" fillId="3" borderId="23" xfId="10" applyNumberFormat="1" applyFont="1" applyFill="1" applyBorder="1" applyAlignment="1" applyProtection="1">
      <alignment horizontal="right" vertical="center" shrinkToFit="1"/>
      <protection locked="0"/>
    </xf>
    <xf numFmtId="166" fontId="8" fillId="3" borderId="6" xfId="10" applyNumberFormat="1" applyFont="1" applyFill="1" applyBorder="1" applyAlignment="1" applyProtection="1">
      <alignment horizontal="right" vertical="center" shrinkToFit="1"/>
      <protection locked="0"/>
    </xf>
    <xf numFmtId="166" fontId="8" fillId="3" borderId="24" xfId="10" applyNumberFormat="1" applyFont="1" applyFill="1" applyBorder="1" applyAlignment="1" applyProtection="1">
      <alignment horizontal="right" vertical="center" shrinkToFit="1"/>
      <protection locked="0"/>
    </xf>
    <xf numFmtId="0" fontId="8" fillId="40" borderId="56" xfId="10" applyFont="1" applyFill="1" applyBorder="1" applyAlignment="1">
      <alignment horizontal="left" vertical="center" shrinkToFit="1"/>
    </xf>
    <xf numFmtId="0" fontId="8" fillId="40" borderId="27" xfId="10" applyFont="1" applyFill="1" applyBorder="1" applyAlignment="1">
      <alignment horizontal="left" vertical="center" wrapText="1" shrinkToFit="1"/>
    </xf>
    <xf numFmtId="49" fontId="8" fillId="40" borderId="27" xfId="10" applyNumberFormat="1" applyFont="1" applyFill="1" applyBorder="1" applyAlignment="1">
      <alignment horizontal="left" vertical="center" wrapText="1" shrinkToFit="1"/>
    </xf>
    <xf numFmtId="0" fontId="8" fillId="40" borderId="27" xfId="10" applyFont="1" applyFill="1" applyBorder="1" applyAlignment="1">
      <alignment horizontal="left" vertical="center" shrinkToFit="1"/>
    </xf>
    <xf numFmtId="1" fontId="8" fillId="40" borderId="28" xfId="10" applyNumberFormat="1" applyFont="1" applyFill="1" applyBorder="1" applyAlignment="1">
      <alignment horizontal="right" vertical="center" shrinkToFit="1"/>
    </xf>
    <xf numFmtId="166" fontId="8" fillId="3" borderId="56" xfId="10" applyNumberFormat="1" applyFont="1" applyFill="1" applyBorder="1" applyAlignment="1" applyProtection="1">
      <alignment horizontal="right" vertical="center" shrinkToFit="1"/>
      <protection locked="0"/>
    </xf>
    <xf numFmtId="0" fontId="8" fillId="36" borderId="40" xfId="10" applyFont="1" applyFill="1" applyBorder="1" applyAlignment="1" applyProtection="1">
      <alignment horizontal="left" vertical="center" wrapText="1"/>
      <protection locked="0"/>
    </xf>
    <xf numFmtId="0" fontId="8" fillId="36" borderId="13" xfId="10" applyFont="1" applyFill="1" applyBorder="1" applyAlignment="1" applyProtection="1">
      <alignment horizontal="left" vertical="center" wrapText="1"/>
      <protection locked="0"/>
    </xf>
    <xf numFmtId="1" fontId="8" fillId="36" borderId="19" xfId="10" applyNumberFormat="1" applyFont="1" applyFill="1" applyBorder="1" applyAlignment="1" applyProtection="1">
      <alignment horizontal="right" vertical="center" wrapText="1"/>
      <protection locked="0"/>
    </xf>
    <xf numFmtId="2" fontId="8" fillId="3" borderId="40" xfId="10" applyNumberFormat="1" applyFont="1" applyFill="1" applyBorder="1" applyAlignment="1" applyProtection="1">
      <alignment horizontal="right" vertical="center" wrapText="1"/>
      <protection locked="0"/>
    </xf>
    <xf numFmtId="0" fontId="8" fillId="40" borderId="22" xfId="10" applyFont="1" applyFill="1" applyBorder="1" applyAlignment="1" applyProtection="1">
      <alignment horizontal="left" vertical="center" wrapText="1"/>
      <protection locked="0"/>
    </xf>
    <xf numFmtId="0" fontId="8" fillId="40" borderId="18" xfId="10" applyFont="1" applyFill="1" applyBorder="1" applyAlignment="1" applyProtection="1">
      <alignment horizontal="left" vertical="center" wrapText="1"/>
      <protection locked="0"/>
    </xf>
    <xf numFmtId="1" fontId="8" fillId="40" borderId="29" xfId="10" applyNumberFormat="1" applyFont="1" applyFill="1" applyBorder="1" applyAlignment="1" applyProtection="1">
      <alignment horizontal="right" vertical="center" wrapText="1"/>
      <protection locked="0"/>
    </xf>
    <xf numFmtId="2" fontId="8" fillId="15" borderId="17" xfId="10" applyNumberFormat="1" applyFont="1" applyFill="1" applyBorder="1" applyAlignment="1" applyProtection="1">
      <alignment horizontal="right" vertical="center" wrapText="1"/>
      <protection locked="0"/>
    </xf>
    <xf numFmtId="2" fontId="8" fillId="7" borderId="14" xfId="10" applyNumberFormat="1" applyFont="1" applyFill="1" applyBorder="1" applyAlignment="1" applyProtection="1">
      <alignment horizontal="right" vertical="center" wrapText="1"/>
      <protection locked="0"/>
    </xf>
    <xf numFmtId="2" fontId="8" fillId="7" borderId="54" xfId="10" applyNumberFormat="1" applyFont="1" applyFill="1" applyBorder="1" applyAlignment="1" applyProtection="1">
      <alignment horizontal="right" vertical="center" wrapText="1"/>
      <protection locked="0"/>
    </xf>
    <xf numFmtId="0" fontId="8" fillId="40" borderId="23" xfId="10" applyFont="1" applyFill="1" applyBorder="1" applyAlignment="1" applyProtection="1">
      <alignment horizontal="left" vertical="center" wrapText="1"/>
      <protection locked="0"/>
    </xf>
    <xf numFmtId="0" fontId="8" fillId="40" borderId="6" xfId="10" applyFont="1" applyFill="1" applyBorder="1" applyAlignment="1" applyProtection="1">
      <alignment horizontal="left" vertical="center" wrapText="1"/>
      <protection locked="0"/>
    </xf>
    <xf numFmtId="1" fontId="8" fillId="40" borderId="24" xfId="10" applyNumberFormat="1" applyFont="1" applyFill="1" applyBorder="1" applyAlignment="1" applyProtection="1">
      <alignment horizontal="right" vertical="center" wrapText="1"/>
      <protection locked="0"/>
    </xf>
    <xf numFmtId="2" fontId="8" fillId="15" borderId="23" xfId="10" applyNumberFormat="1" applyFont="1" applyFill="1" applyBorder="1" applyAlignment="1" applyProtection="1">
      <alignment horizontal="right" vertical="center" wrapText="1"/>
      <protection locked="0"/>
    </xf>
    <xf numFmtId="2" fontId="8" fillId="7" borderId="6" xfId="10" applyNumberFormat="1" applyFont="1" applyFill="1" applyBorder="1" applyAlignment="1" applyProtection="1">
      <alignment horizontal="right" vertical="center" wrapText="1"/>
      <protection locked="0"/>
    </xf>
    <xf numFmtId="2" fontId="8" fillId="7" borderId="24" xfId="10" applyNumberFormat="1" applyFont="1" applyFill="1" applyBorder="1" applyAlignment="1" applyProtection="1">
      <alignment horizontal="right" vertical="center" wrapText="1"/>
      <protection locked="0"/>
    </xf>
    <xf numFmtId="2" fontId="8" fillId="3" borderId="23" xfId="10" applyNumberFormat="1" applyFont="1" applyFill="1" applyBorder="1" applyAlignment="1" applyProtection="1">
      <alignment horizontal="right" vertical="center" wrapText="1"/>
      <protection locked="0"/>
    </xf>
    <xf numFmtId="2" fontId="8" fillId="3" borderId="6" xfId="10" applyNumberFormat="1" applyFont="1" applyFill="1" applyBorder="1" applyAlignment="1" applyProtection="1">
      <alignment horizontal="right" vertical="center" wrapText="1"/>
      <protection locked="0"/>
    </xf>
    <xf numFmtId="2" fontId="8" fillId="3" borderId="24" xfId="10" applyNumberFormat="1" applyFont="1" applyFill="1" applyBorder="1" applyAlignment="1" applyProtection="1">
      <alignment horizontal="right" vertical="center" wrapText="1"/>
      <protection locked="0"/>
    </xf>
    <xf numFmtId="2" fontId="8" fillId="3" borderId="15" xfId="10" applyNumberFormat="1" applyFont="1" applyFill="1" applyBorder="1" applyAlignment="1" applyProtection="1">
      <alignment horizontal="right" vertical="center" wrapText="1"/>
      <protection locked="0"/>
    </xf>
    <xf numFmtId="2" fontId="8" fillId="3" borderId="25" xfId="10" applyNumberFormat="1" applyFont="1" applyFill="1" applyBorder="1" applyAlignment="1" applyProtection="1">
      <alignment horizontal="right" vertical="center" wrapText="1"/>
      <protection locked="0"/>
    </xf>
    <xf numFmtId="2" fontId="8" fillId="3" borderId="57" xfId="10" applyNumberFormat="1" applyFont="1" applyFill="1" applyBorder="1" applyAlignment="1" applyProtection="1">
      <alignment horizontal="right" vertical="center" wrapText="1"/>
      <protection locked="0"/>
    </xf>
    <xf numFmtId="0" fontId="8" fillId="36" borderId="55" xfId="10" applyFont="1" applyFill="1" applyBorder="1" applyAlignment="1" applyProtection="1">
      <alignment horizontal="left" vertical="center" wrapText="1"/>
      <protection locked="0"/>
    </xf>
    <xf numFmtId="0" fontId="8" fillId="36" borderId="52" xfId="10" applyFont="1" applyFill="1" applyBorder="1" applyAlignment="1" applyProtection="1">
      <alignment horizontal="left" vertical="center" wrapText="1"/>
      <protection locked="0"/>
    </xf>
    <xf numFmtId="49" fontId="8" fillId="36" borderId="52" xfId="10" applyNumberFormat="1" applyFont="1" applyFill="1" applyBorder="1" applyAlignment="1" applyProtection="1">
      <alignment horizontal="left" vertical="center" wrapText="1" shrinkToFit="1"/>
      <protection locked="0"/>
    </xf>
    <xf numFmtId="1" fontId="8" fillId="36" borderId="53" xfId="10" applyNumberFormat="1" applyFont="1" applyFill="1" applyBorder="1" applyAlignment="1" applyProtection="1">
      <alignment horizontal="right" vertical="center" wrapText="1"/>
      <protection locked="0"/>
    </xf>
    <xf numFmtId="2" fontId="8" fillId="3" borderId="55" xfId="10" applyNumberFormat="1" applyFont="1" applyFill="1" applyBorder="1" applyAlignment="1" applyProtection="1">
      <alignment horizontal="right" vertical="center" wrapText="1"/>
      <protection locked="0"/>
    </xf>
    <xf numFmtId="2" fontId="8" fillId="3" borderId="52" xfId="10" applyNumberFormat="1" applyFont="1" applyFill="1" applyBorder="1" applyAlignment="1" applyProtection="1">
      <alignment horizontal="right" vertical="center" wrapText="1"/>
      <protection locked="0"/>
    </xf>
    <xf numFmtId="2" fontId="8" fillId="3" borderId="53" xfId="10" applyNumberFormat="1" applyFont="1" applyFill="1" applyBorder="1" applyAlignment="1" applyProtection="1">
      <alignment horizontal="right" vertical="center" wrapText="1"/>
      <protection locked="0"/>
    </xf>
    <xf numFmtId="0" fontId="8" fillId="0" borderId="2" xfId="10" applyFont="1" applyBorder="1" applyAlignment="1" applyProtection="1">
      <alignment horizontal="left" vertical="center" wrapText="1"/>
      <protection locked="0"/>
    </xf>
    <xf numFmtId="0" fontId="8" fillId="0" borderId="0" xfId="10" applyFont="1" applyAlignment="1" applyProtection="1">
      <alignment horizontal="left" vertical="center" wrapText="1"/>
      <protection locked="0"/>
    </xf>
    <xf numFmtId="1" fontId="8" fillId="0" borderId="0" xfId="10" applyNumberFormat="1" applyFont="1" applyAlignment="1" applyProtection="1">
      <alignment horizontal="left" vertical="center" wrapText="1"/>
      <protection locked="0"/>
    </xf>
    <xf numFmtId="2" fontId="8" fillId="0" borderId="0" xfId="10" applyNumberFormat="1" applyFont="1" applyAlignment="1" applyProtection="1">
      <alignment horizontal="left" vertical="center" wrapText="1"/>
      <protection locked="0"/>
    </xf>
    <xf numFmtId="0" fontId="10" fillId="28" borderId="39" xfId="10" applyFont="1" applyFill="1" applyBorder="1" applyAlignment="1" applyProtection="1">
      <alignment horizontal="left" vertical="center" wrapText="1"/>
      <protection locked="0"/>
    </xf>
    <xf numFmtId="1" fontId="10" fillId="29" borderId="30" xfId="10" applyNumberFormat="1" applyFont="1" applyFill="1" applyBorder="1" applyAlignment="1" applyProtection="1">
      <alignment horizontal="left" vertical="center" wrapText="1"/>
      <protection locked="0"/>
    </xf>
    <xf numFmtId="1" fontId="10" fillId="29" borderId="177" xfId="10" applyNumberFormat="1" applyFont="1" applyFill="1" applyBorder="1" applyAlignment="1" applyProtection="1">
      <alignment horizontal="left" vertical="center" wrapText="1"/>
      <protection locked="0"/>
    </xf>
    <xf numFmtId="1" fontId="10" fillId="29" borderId="178" xfId="10" applyNumberFormat="1" applyFont="1" applyFill="1" applyBorder="1" applyAlignment="1" applyProtection="1">
      <alignment horizontal="left" vertical="center" wrapText="1"/>
      <protection locked="0"/>
    </xf>
    <xf numFmtId="1" fontId="10" fillId="29" borderId="70" xfId="10" applyNumberFormat="1" applyFont="1" applyFill="1" applyBorder="1" applyAlignment="1" applyProtection="1">
      <alignment horizontal="left" vertical="center" wrapText="1"/>
      <protection locked="0"/>
    </xf>
    <xf numFmtId="1" fontId="10" fillId="29" borderId="179" xfId="10" applyNumberFormat="1" applyFont="1" applyFill="1" applyBorder="1" applyAlignment="1" applyProtection="1">
      <alignment horizontal="left" vertical="center" wrapText="1"/>
      <protection locked="0"/>
    </xf>
    <xf numFmtId="2" fontId="8" fillId="41" borderId="17" xfId="10" applyNumberFormat="1" applyFont="1" applyFill="1" applyBorder="1" applyAlignment="1">
      <alignment horizontal="left" vertical="center" wrapText="1"/>
    </xf>
    <xf numFmtId="2" fontId="8" fillId="41" borderId="14" xfId="10" applyNumberFormat="1" applyFont="1" applyFill="1" applyBorder="1" applyAlignment="1">
      <alignment horizontal="left" vertical="center" wrapText="1"/>
    </xf>
    <xf numFmtId="1" fontId="8" fillId="41" borderId="54" xfId="10" applyNumberFormat="1" applyFont="1" applyFill="1" applyBorder="1" applyAlignment="1" applyProtection="1">
      <alignment horizontal="right" vertical="center" wrapText="1"/>
      <protection locked="0"/>
    </xf>
    <xf numFmtId="2" fontId="8" fillId="15" borderId="21" xfId="10" applyNumberFormat="1" applyFont="1" applyFill="1" applyBorder="1" applyAlignment="1" applyProtection="1">
      <alignment horizontal="right" vertical="center" wrapText="1"/>
      <protection locked="0"/>
    </xf>
    <xf numFmtId="2" fontId="8" fillId="15" borderId="18" xfId="10" applyNumberFormat="1" applyFont="1" applyFill="1" applyBorder="1" applyAlignment="1" applyProtection="1">
      <alignment horizontal="right" vertical="center" wrapText="1"/>
      <protection locked="0"/>
    </xf>
    <xf numFmtId="2" fontId="8" fillId="0" borderId="18" xfId="10" applyNumberFormat="1" applyFont="1" applyBorder="1" applyAlignment="1" applyProtection="1">
      <alignment horizontal="right" vertical="center" wrapText="1"/>
      <protection locked="0"/>
    </xf>
    <xf numFmtId="2" fontId="8" fillId="0" borderId="6" xfId="10" applyNumberFormat="1" applyFont="1" applyBorder="1" applyAlignment="1" applyProtection="1">
      <alignment horizontal="right" vertical="center" wrapText="1"/>
      <protection locked="0"/>
    </xf>
    <xf numFmtId="2" fontId="8" fillId="0" borderId="34" xfId="10" applyNumberFormat="1" applyFont="1" applyBorder="1" applyAlignment="1" applyProtection="1">
      <alignment horizontal="right" vertical="center" wrapText="1"/>
      <protection locked="0"/>
    </xf>
    <xf numFmtId="2" fontId="8" fillId="41" borderId="23" xfId="10" applyNumberFormat="1" applyFont="1" applyFill="1" applyBorder="1" applyAlignment="1">
      <alignment horizontal="left" vertical="center" wrapText="1"/>
    </xf>
    <xf numFmtId="2" fontId="8" fillId="41" borderId="6" xfId="10" applyNumberFormat="1" applyFont="1" applyFill="1" applyBorder="1" applyAlignment="1">
      <alignment horizontal="left" vertical="center" wrapText="1"/>
    </xf>
    <xf numFmtId="1" fontId="8" fillId="41" borderId="24" xfId="10" applyNumberFormat="1" applyFont="1" applyFill="1" applyBorder="1" applyAlignment="1" applyProtection="1">
      <alignment horizontal="right" vertical="center" wrapText="1"/>
      <protection locked="0"/>
    </xf>
    <xf numFmtId="2" fontId="8" fillId="15" borderId="8" xfId="10" applyNumberFormat="1" applyFont="1" applyFill="1" applyBorder="1" applyAlignment="1" applyProtection="1">
      <alignment horizontal="right" vertical="center" wrapText="1"/>
      <protection locked="0"/>
    </xf>
    <xf numFmtId="2" fontId="8" fillId="15" borderId="6" xfId="10" applyNumberFormat="1" applyFont="1" applyFill="1" applyBorder="1" applyAlignment="1" applyProtection="1">
      <alignment horizontal="right" vertical="center" wrapText="1"/>
      <protection locked="0"/>
    </xf>
    <xf numFmtId="0" fontId="8" fillId="41" borderId="23" xfId="10" applyFont="1" applyFill="1" applyBorder="1" applyAlignment="1" applyProtection="1">
      <alignment horizontal="left" vertical="center" wrapText="1" shrinkToFit="1"/>
      <protection locked="0"/>
    </xf>
    <xf numFmtId="0" fontId="8" fillId="41" borderId="6" xfId="10" applyFont="1" applyFill="1" applyBorder="1" applyAlignment="1" applyProtection="1">
      <alignment horizontal="left" vertical="center" wrapText="1" shrinkToFit="1"/>
      <protection locked="0"/>
    </xf>
    <xf numFmtId="0" fontId="8" fillId="41" borderId="23" xfId="10" applyFont="1" applyFill="1" applyBorder="1" applyAlignment="1" applyProtection="1">
      <alignment horizontal="left" vertical="center" wrapText="1"/>
      <protection locked="0"/>
    </xf>
    <xf numFmtId="0" fontId="8" fillId="41" borderId="6" xfId="10" applyFont="1" applyFill="1" applyBorder="1" applyAlignment="1" applyProtection="1">
      <alignment horizontal="left" vertical="center" wrapText="1"/>
      <protection locked="0"/>
    </xf>
    <xf numFmtId="49" fontId="8" fillId="41" borderId="6" xfId="10" applyNumberFormat="1" applyFont="1" applyFill="1" applyBorder="1" applyAlignment="1" applyProtection="1">
      <alignment horizontal="left" vertical="center" wrapText="1" shrinkToFit="1"/>
      <protection locked="0"/>
    </xf>
    <xf numFmtId="1" fontId="8" fillId="41" borderId="34" xfId="10" applyNumberFormat="1" applyFont="1" applyFill="1" applyBorder="1" applyAlignment="1" applyProtection="1">
      <alignment horizontal="right" vertical="center" wrapText="1"/>
      <protection locked="0"/>
    </xf>
    <xf numFmtId="2" fontId="8" fillId="41" borderId="56" xfId="10" applyNumberFormat="1" applyFont="1" applyFill="1" applyBorder="1" applyAlignment="1">
      <alignment horizontal="left" vertical="center" wrapText="1"/>
    </xf>
    <xf numFmtId="2" fontId="8" fillId="41" borderId="27" xfId="10" applyNumberFormat="1" applyFont="1" applyFill="1" applyBorder="1" applyAlignment="1">
      <alignment horizontal="left" vertical="center" wrapText="1"/>
    </xf>
    <xf numFmtId="1" fontId="8" fillId="41" borderId="68" xfId="10" applyNumberFormat="1" applyFont="1" applyFill="1" applyBorder="1" applyAlignment="1" applyProtection="1">
      <alignment horizontal="right" vertical="center" wrapText="1"/>
      <protection locked="0"/>
    </xf>
    <xf numFmtId="2" fontId="8" fillId="15" borderId="26" xfId="10" applyNumberFormat="1" applyFont="1" applyFill="1" applyBorder="1" applyAlignment="1" applyProtection="1">
      <alignment horizontal="right" vertical="center" wrapText="1"/>
      <protection locked="0"/>
    </xf>
    <xf numFmtId="2" fontId="8" fillId="15" borderId="27" xfId="10" applyNumberFormat="1" applyFont="1" applyFill="1" applyBorder="1" applyAlignment="1" applyProtection="1">
      <alignment horizontal="right" vertical="center" wrapText="1"/>
      <protection locked="0"/>
    </xf>
    <xf numFmtId="2" fontId="8" fillId="0" borderId="27" xfId="10" applyNumberFormat="1" applyFont="1" applyBorder="1" applyAlignment="1" applyProtection="1">
      <alignment horizontal="right" vertical="center" wrapText="1"/>
      <protection locked="0"/>
    </xf>
    <xf numFmtId="2" fontId="8" fillId="0" borderId="68" xfId="10" applyNumberFormat="1" applyFont="1" applyBorder="1" applyAlignment="1" applyProtection="1">
      <alignment horizontal="right" vertical="center" wrapText="1"/>
      <protection locked="0"/>
    </xf>
    <xf numFmtId="0" fontId="8" fillId="29" borderId="22" xfId="10" applyFont="1" applyFill="1" applyBorder="1" applyAlignment="1" applyProtection="1">
      <alignment horizontal="left" vertical="center" wrapText="1"/>
      <protection locked="0"/>
    </xf>
    <xf numFmtId="0" fontId="8" fillId="29" borderId="18" xfId="10" applyFont="1" applyFill="1" applyBorder="1" applyAlignment="1" applyProtection="1">
      <alignment horizontal="left" vertical="center" wrapText="1"/>
      <protection locked="0"/>
    </xf>
    <xf numFmtId="49" fontId="8" fillId="29" borderId="18" xfId="10" applyNumberFormat="1" applyFont="1" applyFill="1" applyBorder="1" applyAlignment="1" applyProtection="1">
      <alignment horizontal="left" vertical="center" wrapText="1" shrinkToFit="1"/>
      <protection locked="0"/>
    </xf>
    <xf numFmtId="1" fontId="8" fillId="29" borderId="50" xfId="10" applyNumberFormat="1" applyFont="1" applyFill="1" applyBorder="1" applyAlignment="1" applyProtection="1">
      <alignment horizontal="right" vertical="center" wrapText="1"/>
      <protection locked="0"/>
    </xf>
    <xf numFmtId="0" fontId="8" fillId="29" borderId="23" xfId="10" applyFont="1" applyFill="1" applyBorder="1" applyAlignment="1" applyProtection="1">
      <alignment horizontal="left" vertical="center" wrapText="1"/>
      <protection locked="0"/>
    </xf>
    <xf numFmtId="0" fontId="8" fillId="29" borderId="6" xfId="10" applyFont="1" applyFill="1" applyBorder="1" applyAlignment="1" applyProtection="1">
      <alignment horizontal="left" vertical="center" wrapText="1"/>
      <protection locked="0"/>
    </xf>
    <xf numFmtId="49" fontId="8" fillId="29" borderId="6" xfId="10" applyNumberFormat="1" applyFont="1" applyFill="1" applyBorder="1" applyAlignment="1" applyProtection="1">
      <alignment horizontal="left" vertical="center" wrapText="1" shrinkToFit="1"/>
      <protection locked="0"/>
    </xf>
    <xf numFmtId="1" fontId="8" fillId="29" borderId="34" xfId="10" applyNumberFormat="1" applyFont="1" applyFill="1" applyBorder="1" applyAlignment="1" applyProtection="1">
      <alignment horizontal="right" vertical="center" wrapText="1"/>
      <protection locked="0"/>
    </xf>
    <xf numFmtId="2" fontId="8" fillId="29" borderId="15" xfId="10" applyNumberFormat="1" applyFont="1" applyFill="1" applyBorder="1" applyAlignment="1">
      <alignment horizontal="left" vertical="center" wrapText="1"/>
    </xf>
    <xf numFmtId="2" fontId="8" fillId="29" borderId="25" xfId="10" applyNumberFormat="1" applyFont="1" applyFill="1" applyBorder="1" applyAlignment="1">
      <alignment horizontal="left" vertical="center" wrapText="1"/>
    </xf>
    <xf numFmtId="1" fontId="8" fillId="29" borderId="49" xfId="10" applyNumberFormat="1" applyFont="1" applyFill="1" applyBorder="1" applyAlignment="1" applyProtection="1">
      <alignment horizontal="right" vertical="center" wrapText="1"/>
      <protection locked="0"/>
    </xf>
    <xf numFmtId="2" fontId="8" fillId="15" borderId="31" xfId="10" applyNumberFormat="1" applyFont="1" applyFill="1" applyBorder="1" applyAlignment="1" applyProtection="1">
      <alignment horizontal="right" vertical="center" wrapText="1"/>
      <protection locked="0"/>
    </xf>
    <xf numFmtId="2" fontId="8" fillId="15" borderId="25" xfId="10" applyNumberFormat="1" applyFont="1" applyFill="1" applyBorder="1" applyAlignment="1" applyProtection="1">
      <alignment horizontal="right" vertical="center" wrapText="1"/>
      <protection locked="0"/>
    </xf>
    <xf numFmtId="2" fontId="8" fillId="0" borderId="25" xfId="10" applyNumberFormat="1" applyFont="1" applyBorder="1" applyAlignment="1" applyProtection="1">
      <alignment horizontal="right" vertical="center" wrapText="1"/>
      <protection locked="0"/>
    </xf>
    <xf numFmtId="2" fontId="8" fillId="0" borderId="49" xfId="10" applyNumberFormat="1" applyFont="1" applyBorder="1" applyAlignment="1" applyProtection="1">
      <alignment horizontal="right" vertical="center" wrapText="1"/>
      <protection locked="0"/>
    </xf>
    <xf numFmtId="0" fontId="8" fillId="41" borderId="22" xfId="10" applyFont="1" applyFill="1" applyBorder="1" applyAlignment="1" applyProtection="1">
      <alignment horizontal="left" vertical="center" wrapText="1"/>
      <protection locked="0"/>
    </xf>
    <xf numFmtId="0" fontId="8" fillId="41" borderId="18" xfId="10" applyFont="1" applyFill="1" applyBorder="1" applyAlignment="1" applyProtection="1">
      <alignment horizontal="left" vertical="center" wrapText="1"/>
      <protection locked="0"/>
    </xf>
    <xf numFmtId="49" fontId="8" fillId="41" borderId="18" xfId="10" applyNumberFormat="1" applyFont="1" applyFill="1" applyBorder="1" applyAlignment="1" applyProtection="1">
      <alignment horizontal="left" vertical="center" wrapText="1" shrinkToFit="1"/>
      <protection locked="0"/>
    </xf>
    <xf numFmtId="1" fontId="8" fillId="41" borderId="50" xfId="10" applyNumberFormat="1" applyFont="1" applyFill="1" applyBorder="1" applyAlignment="1" applyProtection="1">
      <alignment horizontal="right" vertical="center" wrapText="1"/>
      <protection locked="0"/>
    </xf>
    <xf numFmtId="2" fontId="8" fillId="41" borderId="15" xfId="10" applyNumberFormat="1" applyFont="1" applyFill="1" applyBorder="1" applyAlignment="1">
      <alignment horizontal="left" vertical="center" wrapText="1"/>
    </xf>
    <xf numFmtId="2" fontId="8" fillId="41" borderId="25" xfId="10" applyNumberFormat="1" applyFont="1" applyFill="1" applyBorder="1" applyAlignment="1">
      <alignment horizontal="left" vertical="center" wrapText="1"/>
    </xf>
    <xf numFmtId="1" fontId="8" fillId="41" borderId="49" xfId="10" applyNumberFormat="1" applyFont="1" applyFill="1" applyBorder="1" applyAlignment="1" applyProtection="1">
      <alignment horizontal="right" vertical="center" wrapText="1"/>
      <protection locked="0"/>
    </xf>
    <xf numFmtId="2" fontId="8" fillId="0" borderId="0" xfId="10" applyNumberFormat="1" applyFont="1" applyAlignment="1">
      <alignment horizontal="left" vertical="center" wrapText="1"/>
    </xf>
    <xf numFmtId="1" fontId="10" fillId="29" borderId="16" xfId="10" applyNumberFormat="1" applyFont="1" applyFill="1" applyBorder="1" applyAlignment="1" applyProtection="1">
      <alignment horizontal="left" vertical="center" wrapText="1"/>
      <protection locked="0"/>
    </xf>
    <xf numFmtId="1" fontId="10" fillId="29" borderId="47" xfId="10" applyNumberFormat="1" applyFont="1" applyFill="1" applyBorder="1" applyAlignment="1" applyProtection="1">
      <alignment horizontal="left" vertical="center" wrapText="1"/>
      <protection locked="0"/>
    </xf>
    <xf numFmtId="1" fontId="10" fillId="29" borderId="66" xfId="10" applyNumberFormat="1" applyFont="1" applyFill="1" applyBorder="1" applyAlignment="1" applyProtection="1">
      <alignment horizontal="left" vertical="center" wrapText="1"/>
      <protection locked="0"/>
    </xf>
    <xf numFmtId="0" fontId="8" fillId="38" borderId="22" xfId="10" applyFont="1" applyFill="1" applyBorder="1" applyAlignment="1">
      <alignment horizontal="left" vertical="center" shrinkToFit="1"/>
    </xf>
    <xf numFmtId="0" fontId="8" fillId="38" borderId="18" xfId="10" applyFont="1" applyFill="1" applyBorder="1" applyAlignment="1" applyProtection="1">
      <alignment horizontal="left" vertical="center" wrapText="1" shrinkToFit="1"/>
      <protection locked="0"/>
    </xf>
    <xf numFmtId="49" fontId="8" fillId="38" borderId="18" xfId="10" applyNumberFormat="1" applyFont="1" applyFill="1" applyBorder="1" applyAlignment="1" applyProtection="1">
      <alignment horizontal="left" vertical="center" wrapText="1" shrinkToFit="1"/>
      <protection locked="0"/>
    </xf>
    <xf numFmtId="0" fontId="8" fillId="38" borderId="18" xfId="10" applyFont="1" applyFill="1" applyBorder="1" applyAlignment="1" applyProtection="1">
      <alignment horizontal="left" vertical="center" shrinkToFit="1"/>
      <protection locked="0"/>
    </xf>
    <xf numFmtId="1" fontId="8" fillId="38" borderId="29" xfId="10" applyNumberFormat="1" applyFont="1" applyFill="1" applyBorder="1" applyAlignment="1" applyProtection="1">
      <alignment horizontal="right" vertical="center" shrinkToFit="1"/>
      <protection locked="0"/>
    </xf>
    <xf numFmtId="2" fontId="8" fillId="0" borderId="18" xfId="10" applyNumberFormat="1" applyFont="1" applyBorder="1" applyAlignment="1" applyProtection="1">
      <alignment horizontal="right" vertical="center" shrinkToFit="1"/>
      <protection locked="0"/>
    </xf>
    <xf numFmtId="0" fontId="17" fillId="0" borderId="0" xfId="9" applyFont="1" applyAlignment="1">
      <alignment horizontal="left" vertical="center"/>
    </xf>
    <xf numFmtId="49" fontId="8" fillId="38" borderId="23" xfId="10" applyNumberFormat="1" applyFont="1" applyFill="1" applyBorder="1" applyAlignment="1" applyProtection="1">
      <alignment horizontal="left" vertical="center" shrinkToFit="1"/>
      <protection locked="0"/>
    </xf>
    <xf numFmtId="0" fontId="8" fillId="38" borderId="6" xfId="10" applyFont="1" applyFill="1" applyBorder="1" applyAlignment="1" applyProtection="1">
      <alignment horizontal="left" vertical="center" wrapText="1" shrinkToFit="1"/>
      <protection locked="0"/>
    </xf>
    <xf numFmtId="49" fontId="8" fillId="38" borderId="6" xfId="10" applyNumberFormat="1" applyFont="1" applyFill="1" applyBorder="1" applyAlignment="1" applyProtection="1">
      <alignment horizontal="left" vertical="center" wrapText="1" shrinkToFit="1"/>
      <protection locked="0"/>
    </xf>
    <xf numFmtId="0" fontId="8" fillId="38" borderId="6" xfId="10" applyFont="1" applyFill="1" applyBorder="1" applyAlignment="1" applyProtection="1">
      <alignment horizontal="left" vertical="center" shrinkToFit="1"/>
      <protection locked="0"/>
    </xf>
    <xf numFmtId="1" fontId="8" fillId="38" borderId="24" xfId="10" applyNumberFormat="1" applyFont="1" applyFill="1" applyBorder="1" applyAlignment="1" applyProtection="1">
      <alignment horizontal="right" vertical="center" shrinkToFit="1"/>
      <protection locked="0"/>
    </xf>
    <xf numFmtId="2" fontId="8" fillId="9" borderId="6" xfId="10" applyNumberFormat="1" applyFont="1" applyFill="1" applyBorder="1" applyAlignment="1" applyProtection="1">
      <alignment horizontal="right" vertical="center" shrinkToFit="1"/>
      <protection locked="0"/>
    </xf>
    <xf numFmtId="2" fontId="8" fillId="9" borderId="24" xfId="10" applyNumberFormat="1" applyFont="1" applyFill="1" applyBorder="1" applyAlignment="1" applyProtection="1">
      <alignment horizontal="right" vertical="center" shrinkToFit="1"/>
      <protection locked="0"/>
    </xf>
    <xf numFmtId="0" fontId="8" fillId="38" borderId="23" xfId="10" applyFont="1" applyFill="1" applyBorder="1" applyAlignment="1" applyProtection="1">
      <alignment horizontal="left" vertical="center" shrinkToFit="1"/>
      <protection locked="0"/>
    </xf>
    <xf numFmtId="2" fontId="8" fillId="38" borderId="6" xfId="10" applyNumberFormat="1" applyFont="1" applyFill="1" applyBorder="1" applyAlignment="1">
      <alignment horizontal="left" vertical="center" wrapText="1"/>
    </xf>
    <xf numFmtId="2" fontId="8" fillId="38" borderId="23" xfId="10" applyNumberFormat="1" applyFont="1" applyFill="1" applyBorder="1" applyAlignment="1" applyProtection="1">
      <alignment horizontal="left" vertical="center" shrinkToFit="1"/>
      <protection locked="0"/>
    </xf>
    <xf numFmtId="2" fontId="8" fillId="38" borderId="6" xfId="10" applyNumberFormat="1" applyFont="1" applyFill="1" applyBorder="1" applyAlignment="1" applyProtection="1">
      <alignment horizontal="left" vertical="center" wrapText="1" shrinkToFit="1"/>
      <protection locked="0"/>
    </xf>
    <xf numFmtId="2" fontId="8" fillId="38" borderId="6" xfId="10" applyNumberFormat="1" applyFont="1" applyFill="1" applyBorder="1" applyAlignment="1" applyProtection="1">
      <alignment horizontal="left" vertical="center" shrinkToFit="1"/>
      <protection locked="0"/>
    </xf>
    <xf numFmtId="2" fontId="8" fillId="38" borderId="56" xfId="10" applyNumberFormat="1" applyFont="1" applyFill="1" applyBorder="1" applyAlignment="1" applyProtection="1">
      <alignment horizontal="left" vertical="center" shrinkToFit="1"/>
      <protection locked="0"/>
    </xf>
    <xf numFmtId="2" fontId="8" fillId="38" borderId="27" xfId="10" applyNumberFormat="1" applyFont="1" applyFill="1" applyBorder="1" applyAlignment="1" applyProtection="1">
      <alignment horizontal="left" vertical="center" wrapText="1" shrinkToFit="1"/>
      <protection locked="0"/>
    </xf>
    <xf numFmtId="2" fontId="8" fillId="38" borderId="27" xfId="10" applyNumberFormat="1" applyFont="1" applyFill="1" applyBorder="1" applyAlignment="1" applyProtection="1">
      <alignment horizontal="left" vertical="center" shrinkToFit="1"/>
      <protection locked="0"/>
    </xf>
    <xf numFmtId="1" fontId="8" fillId="38" borderId="28" xfId="10" applyNumberFormat="1" applyFont="1" applyFill="1" applyBorder="1" applyAlignment="1" applyProtection="1">
      <alignment horizontal="right" vertical="center" shrinkToFit="1"/>
      <protection locked="0"/>
    </xf>
    <xf numFmtId="2" fontId="8" fillId="9" borderId="56" xfId="10" applyNumberFormat="1" applyFont="1" applyFill="1" applyBorder="1" applyAlignment="1" applyProtection="1">
      <alignment horizontal="right" vertical="center" shrinkToFit="1"/>
      <protection locked="0"/>
    </xf>
    <xf numFmtId="0" fontId="8" fillId="29" borderId="22" xfId="10" applyFont="1" applyFill="1" applyBorder="1" applyAlignment="1">
      <alignment horizontal="left" vertical="center" shrinkToFit="1"/>
    </xf>
    <xf numFmtId="0" fontId="8" fillId="29" borderId="18" xfId="10" applyFont="1" applyFill="1" applyBorder="1" applyAlignment="1" applyProtection="1">
      <alignment horizontal="left" vertical="center" wrapText="1" shrinkToFit="1"/>
      <protection locked="0"/>
    </xf>
    <xf numFmtId="49" fontId="8" fillId="29" borderId="18" xfId="10" applyNumberFormat="1" applyFont="1" applyFill="1" applyBorder="1" applyAlignment="1">
      <alignment horizontal="left" vertical="center" wrapText="1" shrinkToFit="1"/>
    </xf>
    <xf numFmtId="0" fontId="8" fillId="29" borderId="18" xfId="10" applyFont="1" applyFill="1" applyBorder="1" applyAlignment="1" applyProtection="1">
      <alignment horizontal="left" vertical="center" shrinkToFit="1"/>
      <protection locked="0"/>
    </xf>
    <xf numFmtId="1" fontId="8" fillId="29" borderId="29" xfId="10" applyNumberFormat="1" applyFont="1" applyFill="1" applyBorder="1" applyAlignment="1" applyProtection="1">
      <alignment horizontal="right" vertical="center" shrinkToFit="1"/>
      <protection locked="0"/>
    </xf>
    <xf numFmtId="2" fontId="8" fillId="9" borderId="22" xfId="10" applyNumberFormat="1" applyFont="1" applyFill="1" applyBorder="1" applyAlignment="1" applyProtection="1">
      <alignment horizontal="right" vertical="center" shrinkToFit="1"/>
      <protection locked="0"/>
    </xf>
    <xf numFmtId="2" fontId="8" fillId="9" borderId="18" xfId="10" applyNumberFormat="1" applyFont="1" applyFill="1" applyBorder="1" applyAlignment="1" applyProtection="1">
      <alignment horizontal="right" vertical="center" shrinkToFit="1"/>
      <protection locked="0"/>
    </xf>
    <xf numFmtId="2" fontId="8" fillId="9" borderId="29" xfId="10" applyNumberFormat="1" applyFont="1" applyFill="1" applyBorder="1" applyAlignment="1" applyProtection="1">
      <alignment horizontal="right" vertical="center" shrinkToFit="1"/>
      <protection locked="0"/>
    </xf>
    <xf numFmtId="0" fontId="8" fillId="29" borderId="23" xfId="10" applyFont="1" applyFill="1" applyBorder="1" applyAlignment="1" applyProtection="1">
      <alignment horizontal="left" vertical="center" shrinkToFit="1"/>
      <protection locked="0"/>
    </xf>
    <xf numFmtId="2" fontId="8" fillId="29" borderId="6" xfId="10" applyNumberFormat="1" applyFont="1" applyFill="1" applyBorder="1" applyAlignment="1">
      <alignment horizontal="left" vertical="center" wrapText="1"/>
    </xf>
    <xf numFmtId="49" fontId="8" fillId="29" borderId="6" xfId="10" applyNumberFormat="1" applyFont="1" applyFill="1" applyBorder="1" applyAlignment="1">
      <alignment horizontal="left" vertical="center" wrapText="1" shrinkToFit="1"/>
    </xf>
    <xf numFmtId="0" fontId="8" fillId="29" borderId="6" xfId="10" applyFont="1" applyFill="1" applyBorder="1" applyAlignment="1" applyProtection="1">
      <alignment horizontal="left" vertical="center" shrinkToFit="1"/>
      <protection locked="0"/>
    </xf>
    <xf numFmtId="1" fontId="8" fillId="29" borderId="24" xfId="10" applyNumberFormat="1" applyFont="1" applyFill="1" applyBorder="1" applyAlignment="1" applyProtection="1">
      <alignment horizontal="right" vertical="center" shrinkToFit="1"/>
      <protection locked="0"/>
    </xf>
    <xf numFmtId="166" fontId="8" fillId="9" borderId="23" xfId="10" applyNumberFormat="1" applyFont="1" applyFill="1" applyBorder="1" applyAlignment="1" applyProtection="1">
      <alignment horizontal="right" vertical="center" shrinkToFit="1"/>
      <protection locked="0"/>
    </xf>
    <xf numFmtId="166" fontId="8" fillId="9" borderId="6" xfId="10" applyNumberFormat="1" applyFont="1" applyFill="1" applyBorder="1" applyAlignment="1" applyProtection="1">
      <alignment horizontal="right" vertical="center" shrinkToFit="1"/>
      <protection locked="0"/>
    </xf>
    <xf numFmtId="166" fontId="8" fillId="9" borderId="24" xfId="10" applyNumberFormat="1" applyFont="1" applyFill="1" applyBorder="1" applyAlignment="1" applyProtection="1">
      <alignment horizontal="right" vertical="center" shrinkToFit="1"/>
      <protection locked="0"/>
    </xf>
    <xf numFmtId="0" fontId="8" fillId="29" borderId="6" xfId="10" applyFont="1" applyFill="1" applyBorder="1" applyAlignment="1" applyProtection="1">
      <alignment horizontal="left" vertical="center" wrapText="1" shrinkToFit="1"/>
      <protection locked="0"/>
    </xf>
    <xf numFmtId="49" fontId="8" fillId="29" borderId="6" xfId="10" applyNumberFormat="1" applyFont="1" applyFill="1" applyBorder="1" applyAlignment="1">
      <alignment horizontal="left" vertical="center" wrapText="1"/>
    </xf>
    <xf numFmtId="0" fontId="8" fillId="29" borderId="6" xfId="10" applyFont="1" applyFill="1" applyBorder="1" applyAlignment="1">
      <alignment horizontal="left" vertical="center" shrinkToFit="1"/>
    </xf>
    <xf numFmtId="1" fontId="8" fillId="29" borderId="24" xfId="10" applyNumberFormat="1" applyFont="1" applyFill="1" applyBorder="1" applyAlignment="1">
      <alignment horizontal="right" vertical="center" shrinkToFit="1"/>
    </xf>
    <xf numFmtId="165" fontId="8" fillId="9" borderId="23" xfId="10" applyNumberFormat="1" applyFont="1" applyFill="1" applyBorder="1" applyAlignment="1" applyProtection="1">
      <alignment horizontal="right" vertical="center" shrinkToFit="1"/>
      <protection locked="0"/>
    </xf>
    <xf numFmtId="165" fontId="8" fillId="9" borderId="6" xfId="10" applyNumberFormat="1" applyFont="1" applyFill="1" applyBorder="1" applyAlignment="1" applyProtection="1">
      <alignment horizontal="right" vertical="center" shrinkToFit="1"/>
      <protection locked="0"/>
    </xf>
    <xf numFmtId="165" fontId="8" fillId="9" borderId="24" xfId="10" applyNumberFormat="1" applyFont="1" applyFill="1" applyBorder="1" applyAlignment="1" applyProtection="1">
      <alignment horizontal="right" vertical="center" shrinkToFit="1"/>
      <protection locked="0"/>
    </xf>
    <xf numFmtId="0" fontId="8" fillId="29" borderId="56" xfId="10" applyFont="1" applyFill="1" applyBorder="1" applyAlignment="1" applyProtection="1">
      <alignment horizontal="left" vertical="center" shrinkToFit="1"/>
      <protection locked="0"/>
    </xf>
    <xf numFmtId="0" fontId="8" fillId="29" borderId="27" xfId="10" applyFont="1" applyFill="1" applyBorder="1" applyAlignment="1" applyProtection="1">
      <alignment horizontal="left" vertical="center" wrapText="1" shrinkToFit="1"/>
      <protection locked="0"/>
    </xf>
    <xf numFmtId="49" fontId="8" fillId="29" borderId="27" xfId="10" applyNumberFormat="1" applyFont="1" applyFill="1" applyBorder="1" applyAlignment="1" applyProtection="1">
      <alignment horizontal="left" vertical="center" wrapText="1" shrinkToFit="1"/>
      <protection locked="0"/>
    </xf>
    <xf numFmtId="0" fontId="8" fillId="29" borderId="27" xfId="10" applyFont="1" applyFill="1" applyBorder="1" applyAlignment="1" applyProtection="1">
      <alignment horizontal="left" vertical="center" shrinkToFit="1"/>
      <protection locked="0"/>
    </xf>
    <xf numFmtId="1" fontId="8" fillId="29" borderId="28" xfId="10" applyNumberFormat="1" applyFont="1" applyFill="1" applyBorder="1" applyAlignment="1" applyProtection="1">
      <alignment horizontal="right" vertical="center" shrinkToFit="1"/>
      <protection locked="0"/>
    </xf>
    <xf numFmtId="2" fontId="8" fillId="9" borderId="27" xfId="10" applyNumberFormat="1" applyFont="1" applyFill="1" applyBorder="1" applyAlignment="1" applyProtection="1">
      <alignment horizontal="right" vertical="center" shrinkToFit="1"/>
      <protection locked="0"/>
    </xf>
    <xf numFmtId="2" fontId="8" fillId="9" borderId="28" xfId="10" applyNumberFormat="1" applyFont="1" applyFill="1" applyBorder="1" applyAlignment="1" applyProtection="1">
      <alignment horizontal="right" vertical="center" shrinkToFit="1"/>
      <protection locked="0"/>
    </xf>
    <xf numFmtId="0" fontId="8" fillId="38" borderId="56" xfId="10" applyFont="1" applyFill="1" applyBorder="1" applyAlignment="1" applyProtection="1">
      <alignment horizontal="left" vertical="center" shrinkToFit="1"/>
      <protection locked="0"/>
    </xf>
    <xf numFmtId="0" fontId="8" fillId="38" borderId="27" xfId="10" applyFont="1" applyFill="1" applyBorder="1" applyAlignment="1" applyProtection="1">
      <alignment horizontal="left" vertical="center" wrapText="1" shrinkToFit="1"/>
      <protection locked="0"/>
    </xf>
    <xf numFmtId="49" fontId="8" fillId="38" borderId="27" xfId="10" applyNumberFormat="1" applyFont="1" applyFill="1" applyBorder="1" applyAlignment="1" applyProtection="1">
      <alignment horizontal="left" vertical="center" wrapText="1" shrinkToFit="1"/>
      <protection locked="0"/>
    </xf>
    <xf numFmtId="0" fontId="8" fillId="38" borderId="27" xfId="10" applyFont="1" applyFill="1" applyBorder="1" applyAlignment="1" applyProtection="1">
      <alignment horizontal="left" vertical="center" shrinkToFit="1"/>
      <protection locked="0"/>
    </xf>
    <xf numFmtId="0" fontId="8" fillId="29" borderId="18" xfId="10" applyFont="1" applyFill="1" applyBorder="1" applyAlignment="1">
      <alignment horizontal="left" vertical="center" shrinkToFit="1"/>
    </xf>
    <xf numFmtId="1" fontId="8" fillId="29" borderId="29" xfId="10" applyNumberFormat="1" applyFont="1" applyFill="1" applyBorder="1" applyAlignment="1">
      <alignment horizontal="right" vertical="center" shrinkToFit="1"/>
    </xf>
    <xf numFmtId="49" fontId="8" fillId="29" borderId="23" xfId="10" applyNumberFormat="1" applyFont="1" applyFill="1" applyBorder="1" applyAlignment="1" applyProtection="1">
      <alignment horizontal="left" vertical="center" shrinkToFit="1"/>
      <protection locked="0"/>
    </xf>
    <xf numFmtId="0" fontId="8" fillId="29" borderId="6" xfId="10" applyFont="1" applyFill="1" applyBorder="1" applyAlignment="1">
      <alignment horizontal="left" vertical="center" wrapText="1" shrinkToFit="1"/>
    </xf>
    <xf numFmtId="0" fontId="8" fillId="29" borderId="56" xfId="10" applyFont="1" applyFill="1" applyBorder="1" applyAlignment="1">
      <alignment horizontal="left" vertical="center" shrinkToFit="1"/>
    </xf>
    <xf numFmtId="2" fontId="8" fillId="29" borderId="27" xfId="10" applyNumberFormat="1" applyFont="1" applyFill="1" applyBorder="1" applyAlignment="1" applyProtection="1">
      <alignment horizontal="left" vertical="center" wrapText="1" shrinkToFit="1"/>
      <protection locked="0"/>
    </xf>
    <xf numFmtId="49" fontId="8" fillId="29" borderId="27" xfId="10" applyNumberFormat="1" applyFont="1" applyFill="1" applyBorder="1" applyAlignment="1">
      <alignment horizontal="left" vertical="center" wrapText="1" shrinkToFit="1"/>
    </xf>
    <xf numFmtId="0" fontId="8" fillId="29" borderId="27" xfId="10" applyFont="1" applyFill="1" applyBorder="1" applyAlignment="1">
      <alignment horizontal="left" vertical="center" shrinkToFit="1"/>
    </xf>
    <xf numFmtId="1" fontId="8" fillId="29" borderId="28" xfId="10" applyNumberFormat="1" applyFont="1" applyFill="1" applyBorder="1" applyAlignment="1">
      <alignment horizontal="right" vertical="center" shrinkToFit="1"/>
    </xf>
    <xf numFmtId="0" fontId="8" fillId="38" borderId="18" xfId="10" applyFont="1" applyFill="1" applyBorder="1" applyAlignment="1">
      <alignment horizontal="left" vertical="center" shrinkToFit="1"/>
    </xf>
    <xf numFmtId="1" fontId="8" fillId="38" borderId="29" xfId="10" applyNumberFormat="1" applyFont="1" applyFill="1" applyBorder="1" applyAlignment="1">
      <alignment horizontal="right" vertical="center" shrinkToFit="1"/>
    </xf>
    <xf numFmtId="0" fontId="8" fillId="38" borderId="6" xfId="10" applyFont="1" applyFill="1" applyBorder="1" applyAlignment="1">
      <alignment horizontal="left" vertical="center" shrinkToFit="1"/>
    </xf>
    <xf numFmtId="1" fontId="8" fillId="38" borderId="24" xfId="10" applyNumberFormat="1" applyFont="1" applyFill="1" applyBorder="1" applyAlignment="1">
      <alignment horizontal="right" vertical="center" shrinkToFit="1"/>
    </xf>
    <xf numFmtId="0" fontId="8" fillId="38" borderId="6" xfId="10" applyFont="1" applyFill="1" applyBorder="1" applyAlignment="1">
      <alignment horizontal="left" vertical="center" wrapText="1" shrinkToFit="1"/>
    </xf>
    <xf numFmtId="0" fontId="8" fillId="38" borderId="23" xfId="10" applyFont="1" applyFill="1" applyBorder="1" applyAlignment="1">
      <alignment horizontal="left" vertical="center" shrinkToFit="1"/>
    </xf>
    <xf numFmtId="49" fontId="8" fillId="38" borderId="6" xfId="10" applyNumberFormat="1" applyFont="1" applyFill="1" applyBorder="1" applyAlignment="1">
      <alignment horizontal="left" vertical="center" wrapText="1" shrinkToFit="1"/>
    </xf>
    <xf numFmtId="0" fontId="8" fillId="38" borderId="56" xfId="10" applyFont="1" applyFill="1" applyBorder="1" applyAlignment="1">
      <alignment horizontal="left" vertical="center" shrinkToFit="1"/>
    </xf>
    <xf numFmtId="0" fontId="8" fillId="38" borderId="27" xfId="10" applyFont="1" applyFill="1" applyBorder="1" applyAlignment="1">
      <alignment horizontal="left" vertical="center" wrapText="1" shrinkToFit="1"/>
    </xf>
    <xf numFmtId="49" fontId="8" fillId="38" borderId="27" xfId="10" applyNumberFormat="1" applyFont="1" applyFill="1" applyBorder="1" applyAlignment="1">
      <alignment horizontal="left" vertical="center" wrapText="1" shrinkToFit="1"/>
    </xf>
    <xf numFmtId="0" fontId="8" fillId="38" borderId="27" xfId="10" applyFont="1" applyFill="1" applyBorder="1" applyAlignment="1">
      <alignment horizontal="left" vertical="center" shrinkToFit="1"/>
    </xf>
    <xf numFmtId="1" fontId="8" fillId="38" borderId="28" xfId="10" applyNumberFormat="1" applyFont="1" applyFill="1" applyBorder="1" applyAlignment="1">
      <alignment horizontal="right" vertical="center" shrinkToFit="1"/>
    </xf>
    <xf numFmtId="166" fontId="8" fillId="9" borderId="56" xfId="10" applyNumberFormat="1" applyFont="1" applyFill="1" applyBorder="1" applyAlignment="1" applyProtection="1">
      <alignment horizontal="right" vertical="center" shrinkToFit="1"/>
      <protection locked="0"/>
    </xf>
    <xf numFmtId="0" fontId="8" fillId="29" borderId="40" xfId="10" applyFont="1" applyFill="1" applyBorder="1" applyAlignment="1" applyProtection="1">
      <alignment horizontal="left" vertical="center" wrapText="1"/>
      <protection locked="0"/>
    </xf>
    <xf numFmtId="0" fontId="8" fillId="29" borderId="13" xfId="10" applyFont="1" applyFill="1" applyBorder="1" applyAlignment="1" applyProtection="1">
      <alignment horizontal="left" vertical="center" wrapText="1"/>
      <protection locked="0"/>
    </xf>
    <xf numFmtId="1" fontId="8" fillId="29" borderId="19" xfId="10" applyNumberFormat="1" applyFont="1" applyFill="1" applyBorder="1" applyAlignment="1" applyProtection="1">
      <alignment horizontal="right" vertical="center" wrapText="1"/>
      <protection locked="0"/>
    </xf>
    <xf numFmtId="0" fontId="8" fillId="38" borderId="22" xfId="10" applyFont="1" applyFill="1" applyBorder="1" applyAlignment="1" applyProtection="1">
      <alignment horizontal="left" vertical="center" wrapText="1"/>
      <protection locked="0"/>
    </xf>
    <xf numFmtId="0" fontId="8" fillId="38" borderId="18" xfId="10" applyFont="1" applyFill="1" applyBorder="1" applyAlignment="1" applyProtection="1">
      <alignment horizontal="left" vertical="center" wrapText="1"/>
      <protection locked="0"/>
    </xf>
    <xf numFmtId="1" fontId="8" fillId="38" borderId="29" xfId="10" applyNumberFormat="1" applyFont="1" applyFill="1" applyBorder="1" applyAlignment="1" applyProtection="1">
      <alignment horizontal="right" vertical="center" wrapText="1"/>
      <protection locked="0"/>
    </xf>
    <xf numFmtId="0" fontId="8" fillId="38" borderId="23" xfId="10" applyFont="1" applyFill="1" applyBorder="1" applyAlignment="1" applyProtection="1">
      <alignment horizontal="left" vertical="center" wrapText="1"/>
      <protection locked="0"/>
    </xf>
    <xf numFmtId="0" fontId="8" fillId="38" borderId="6" xfId="10" applyFont="1" applyFill="1" applyBorder="1" applyAlignment="1" applyProtection="1">
      <alignment horizontal="left" vertical="center" wrapText="1"/>
      <protection locked="0"/>
    </xf>
    <xf numFmtId="1" fontId="8" fillId="38" borderId="24" xfId="10" applyNumberFormat="1" applyFont="1" applyFill="1" applyBorder="1" applyAlignment="1" applyProtection="1">
      <alignment horizontal="right" vertical="center" wrapText="1"/>
      <protection locked="0"/>
    </xf>
    <xf numFmtId="2" fontId="8" fillId="9" borderId="23" xfId="10" applyNumberFormat="1" applyFont="1" applyFill="1" applyBorder="1" applyAlignment="1" applyProtection="1">
      <alignment horizontal="right" vertical="center" wrapText="1"/>
      <protection locked="0"/>
    </xf>
    <xf numFmtId="2" fontId="8" fillId="9" borderId="15" xfId="10" applyNumberFormat="1" applyFont="1" applyFill="1" applyBorder="1" applyAlignment="1" applyProtection="1">
      <alignment horizontal="right" vertical="center" wrapText="1"/>
      <protection locked="0"/>
    </xf>
    <xf numFmtId="2" fontId="8" fillId="9" borderId="25" xfId="10" applyNumberFormat="1" applyFont="1" applyFill="1" applyBorder="1" applyAlignment="1" applyProtection="1">
      <alignment horizontal="right" vertical="center" wrapText="1"/>
      <protection locked="0"/>
    </xf>
    <xf numFmtId="2" fontId="8" fillId="9" borderId="57" xfId="10" applyNumberFormat="1" applyFont="1" applyFill="1" applyBorder="1" applyAlignment="1" applyProtection="1">
      <alignment horizontal="right" vertical="center" wrapText="1"/>
      <protection locked="0"/>
    </xf>
    <xf numFmtId="0" fontId="8" fillId="29" borderId="55" xfId="10" applyFont="1" applyFill="1" applyBorder="1" applyAlignment="1" applyProtection="1">
      <alignment horizontal="left" vertical="center" wrapText="1"/>
      <protection locked="0"/>
    </xf>
    <xf numFmtId="0" fontId="8" fillId="29" borderId="52" xfId="10" applyFont="1" applyFill="1" applyBorder="1" applyAlignment="1" applyProtection="1">
      <alignment horizontal="left" vertical="center" wrapText="1"/>
      <protection locked="0"/>
    </xf>
    <xf numFmtId="49" fontId="8" fillId="29" borderId="52" xfId="10" applyNumberFormat="1" applyFont="1" applyFill="1" applyBorder="1" applyAlignment="1" applyProtection="1">
      <alignment horizontal="left" vertical="center" wrapText="1" shrinkToFit="1"/>
      <protection locked="0"/>
    </xf>
    <xf numFmtId="1" fontId="8" fillId="29" borderId="53" xfId="10" applyNumberFormat="1" applyFont="1" applyFill="1" applyBorder="1" applyAlignment="1" applyProtection="1">
      <alignment horizontal="right" vertical="center" wrapText="1"/>
      <protection locked="0"/>
    </xf>
    <xf numFmtId="2" fontId="8" fillId="9" borderId="55" xfId="10" applyNumberFormat="1" applyFont="1" applyFill="1" applyBorder="1" applyAlignment="1" applyProtection="1">
      <alignment horizontal="right" vertical="center" wrapText="1"/>
      <protection locked="0"/>
    </xf>
    <xf numFmtId="2" fontId="8" fillId="9" borderId="52" xfId="10" applyNumberFormat="1" applyFont="1" applyFill="1" applyBorder="1" applyAlignment="1" applyProtection="1">
      <alignment horizontal="right" vertical="center" wrapText="1"/>
      <protection locked="0"/>
    </xf>
    <xf numFmtId="2" fontId="8" fillId="9" borderId="53" xfId="10" applyNumberFormat="1" applyFont="1" applyFill="1" applyBorder="1" applyAlignment="1" applyProtection="1">
      <alignment horizontal="right" vertical="center" wrapText="1"/>
      <protection locked="0"/>
    </xf>
    <xf numFmtId="1" fontId="8" fillId="0" borderId="0" xfId="10" applyNumberFormat="1" applyFont="1" applyAlignment="1" applyProtection="1">
      <alignment horizontal="right" vertical="center" wrapText="1"/>
      <protection locked="0"/>
    </xf>
    <xf numFmtId="2" fontId="8" fillId="0" borderId="0" xfId="10" applyNumberFormat="1" applyFont="1" applyAlignment="1" applyProtection="1">
      <alignment horizontal="right" vertical="center" wrapText="1"/>
      <protection locked="0"/>
    </xf>
    <xf numFmtId="0" fontId="17" fillId="15" borderId="21" xfId="9" applyFont="1" applyFill="1" applyBorder="1" applyAlignment="1">
      <alignment horizontal="left" vertical="center" wrapText="1"/>
    </xf>
    <xf numFmtId="2" fontId="17" fillId="0" borderId="29" xfId="9" applyNumberFormat="1" applyFont="1" applyBorder="1" applyAlignment="1">
      <alignment horizontal="left" vertical="center" wrapText="1"/>
    </xf>
    <xf numFmtId="0" fontId="17" fillId="0" borderId="29" xfId="9" applyFont="1" applyBorder="1" applyAlignment="1">
      <alignment horizontal="left" vertical="center" wrapText="1"/>
    </xf>
    <xf numFmtId="0" fontId="10" fillId="32" borderId="39" xfId="10" applyFont="1" applyFill="1" applyBorder="1" applyAlignment="1" applyProtection="1">
      <alignment horizontal="left" vertical="center" wrapText="1"/>
      <protection locked="0"/>
    </xf>
    <xf numFmtId="1" fontId="10" fillId="42" borderId="16" xfId="10" applyNumberFormat="1" applyFont="1" applyFill="1" applyBorder="1" applyAlignment="1" applyProtection="1">
      <alignment horizontal="left" vertical="center" wrapText="1"/>
      <protection locked="0"/>
    </xf>
    <xf numFmtId="1" fontId="10" fillId="42" borderId="47" xfId="10" applyNumberFormat="1" applyFont="1" applyFill="1" applyBorder="1" applyAlignment="1" applyProtection="1">
      <alignment horizontal="left" vertical="center" wrapText="1"/>
      <protection locked="0"/>
    </xf>
    <xf numFmtId="1" fontId="10" fillId="42" borderId="66" xfId="10" applyNumberFormat="1" applyFont="1" applyFill="1" applyBorder="1" applyAlignment="1" applyProtection="1">
      <alignment horizontal="left" vertical="center" wrapText="1"/>
      <protection locked="0"/>
    </xf>
    <xf numFmtId="0" fontId="8" fillId="43" borderId="22" xfId="10" applyFont="1" applyFill="1" applyBorder="1" applyAlignment="1">
      <alignment horizontal="left" vertical="center" shrinkToFit="1"/>
    </xf>
    <xf numFmtId="0" fontId="8" fillId="43" borderId="18" xfId="10" applyFont="1" applyFill="1" applyBorder="1" applyAlignment="1" applyProtection="1">
      <alignment horizontal="left" vertical="center" wrapText="1" shrinkToFit="1"/>
      <protection locked="0"/>
    </xf>
    <xf numFmtId="49" fontId="8" fillId="43" borderId="18" xfId="10" applyNumberFormat="1" applyFont="1" applyFill="1" applyBorder="1" applyAlignment="1" applyProtection="1">
      <alignment horizontal="left" vertical="center" wrapText="1" shrinkToFit="1"/>
      <protection locked="0"/>
    </xf>
    <xf numFmtId="0" fontId="8" fillId="43" borderId="18" xfId="10" applyFont="1" applyFill="1" applyBorder="1" applyAlignment="1" applyProtection="1">
      <alignment horizontal="left" vertical="center" shrinkToFit="1"/>
      <protection locked="0"/>
    </xf>
    <xf numFmtId="1" fontId="8" fillId="43" borderId="29" xfId="10" applyNumberFormat="1" applyFont="1" applyFill="1" applyBorder="1" applyAlignment="1" applyProtection="1">
      <alignment horizontal="right" vertical="center" shrinkToFit="1"/>
      <protection locked="0"/>
    </xf>
    <xf numFmtId="49" fontId="8" fillId="43" borderId="23" xfId="10" applyNumberFormat="1" applyFont="1" applyFill="1" applyBorder="1" applyAlignment="1" applyProtection="1">
      <alignment horizontal="left" vertical="center" shrinkToFit="1"/>
      <protection locked="0"/>
    </xf>
    <xf numFmtId="0" fontId="8" fillId="43" borderId="6" xfId="10" applyFont="1" applyFill="1" applyBorder="1" applyAlignment="1" applyProtection="1">
      <alignment horizontal="left" vertical="center" wrapText="1" shrinkToFit="1"/>
      <protection locked="0"/>
    </xf>
    <xf numFmtId="49" fontId="8" fillId="43" borderId="6" xfId="10" applyNumberFormat="1" applyFont="1" applyFill="1" applyBorder="1" applyAlignment="1" applyProtection="1">
      <alignment horizontal="left" vertical="center" wrapText="1" shrinkToFit="1"/>
      <protection locked="0"/>
    </xf>
    <xf numFmtId="0" fontId="8" fillId="43" borderId="6" xfId="10" applyFont="1" applyFill="1" applyBorder="1" applyAlignment="1" applyProtection="1">
      <alignment horizontal="left" vertical="center" shrinkToFit="1"/>
      <protection locked="0"/>
    </xf>
    <xf numFmtId="1" fontId="8" fillId="43" borderId="24" xfId="10" applyNumberFormat="1" applyFont="1" applyFill="1" applyBorder="1" applyAlignment="1" applyProtection="1">
      <alignment horizontal="right" vertical="center" shrinkToFit="1"/>
      <protection locked="0"/>
    </xf>
    <xf numFmtId="0" fontId="8" fillId="43" borderId="23" xfId="10" applyFont="1" applyFill="1" applyBorder="1" applyAlignment="1" applyProtection="1">
      <alignment horizontal="left" vertical="center" shrinkToFit="1"/>
      <protection locked="0"/>
    </xf>
    <xf numFmtId="2" fontId="8" fillId="43" borderId="6" xfId="10" applyNumberFormat="1" applyFont="1" applyFill="1" applyBorder="1" applyAlignment="1">
      <alignment horizontal="left" vertical="center" wrapText="1"/>
    </xf>
    <xf numFmtId="2" fontId="8" fillId="43" borderId="23" xfId="10" applyNumberFormat="1" applyFont="1" applyFill="1" applyBorder="1" applyAlignment="1" applyProtection="1">
      <alignment horizontal="left" vertical="center" shrinkToFit="1"/>
      <protection locked="0"/>
    </xf>
    <xf numFmtId="2" fontId="8" fillId="43" borderId="6" xfId="10" applyNumberFormat="1" applyFont="1" applyFill="1" applyBorder="1" applyAlignment="1" applyProtection="1">
      <alignment horizontal="left" vertical="center" wrapText="1" shrinkToFit="1"/>
      <protection locked="0"/>
    </xf>
    <xf numFmtId="2" fontId="8" fillId="43" borderId="6" xfId="10" applyNumberFormat="1" applyFont="1" applyFill="1" applyBorder="1" applyAlignment="1" applyProtection="1">
      <alignment horizontal="left" vertical="center" shrinkToFit="1"/>
      <protection locked="0"/>
    </xf>
    <xf numFmtId="2" fontId="8" fillId="43" borderId="56" xfId="10" applyNumberFormat="1" applyFont="1" applyFill="1" applyBorder="1" applyAlignment="1" applyProtection="1">
      <alignment horizontal="left" vertical="center" shrinkToFit="1"/>
      <protection locked="0"/>
    </xf>
    <xf numFmtId="2" fontId="8" fillId="43" borderId="27" xfId="10" applyNumberFormat="1" applyFont="1" applyFill="1" applyBorder="1" applyAlignment="1" applyProtection="1">
      <alignment horizontal="left" vertical="center" wrapText="1" shrinkToFit="1"/>
      <protection locked="0"/>
    </xf>
    <xf numFmtId="2" fontId="8" fillId="43" borderId="27" xfId="10" applyNumberFormat="1" applyFont="1" applyFill="1" applyBorder="1" applyAlignment="1" applyProtection="1">
      <alignment horizontal="left" vertical="center" shrinkToFit="1"/>
      <protection locked="0"/>
    </xf>
    <xf numFmtId="1" fontId="8" fillId="43" borderId="28" xfId="10" applyNumberFormat="1" applyFont="1" applyFill="1" applyBorder="1" applyAlignment="1" applyProtection="1">
      <alignment horizontal="right" vertical="center" shrinkToFit="1"/>
      <protection locked="0"/>
    </xf>
    <xf numFmtId="0" fontId="8" fillId="42" borderId="22" xfId="10" applyFont="1" applyFill="1" applyBorder="1" applyAlignment="1">
      <alignment horizontal="left" vertical="center" shrinkToFit="1"/>
    </xf>
    <xf numFmtId="0" fontId="8" fillId="42" borderId="18" xfId="10" applyFont="1" applyFill="1" applyBorder="1" applyAlignment="1" applyProtection="1">
      <alignment horizontal="left" vertical="center" wrapText="1" shrinkToFit="1"/>
      <protection locked="0"/>
    </xf>
    <xf numFmtId="0" fontId="8" fillId="42" borderId="18" xfId="10" applyFont="1" applyFill="1" applyBorder="1" applyAlignment="1" applyProtection="1">
      <alignment horizontal="left" vertical="center" shrinkToFit="1"/>
      <protection locked="0"/>
    </xf>
    <xf numFmtId="1" fontId="8" fillId="42" borderId="29" xfId="10" applyNumberFormat="1" applyFont="1" applyFill="1" applyBorder="1" applyAlignment="1" applyProtection="1">
      <alignment horizontal="right" vertical="center" shrinkToFit="1"/>
      <protection locked="0"/>
    </xf>
    <xf numFmtId="0" fontId="8" fillId="42" borderId="23" xfId="10" applyFont="1" applyFill="1" applyBorder="1" applyAlignment="1" applyProtection="1">
      <alignment horizontal="left" vertical="center" shrinkToFit="1"/>
      <protection locked="0"/>
    </xf>
    <xf numFmtId="2" fontId="8" fillId="42" borderId="6" xfId="10" applyNumberFormat="1" applyFont="1" applyFill="1" applyBorder="1" applyAlignment="1">
      <alignment horizontal="left" vertical="center" wrapText="1"/>
    </xf>
    <xf numFmtId="49" fontId="8" fillId="42" borderId="6" xfId="10" applyNumberFormat="1" applyFont="1" applyFill="1" applyBorder="1" applyAlignment="1">
      <alignment horizontal="left" vertical="center" wrapText="1" shrinkToFit="1"/>
    </xf>
    <xf numFmtId="0" fontId="8" fillId="42" borderId="6" xfId="10" applyFont="1" applyFill="1" applyBorder="1" applyAlignment="1" applyProtection="1">
      <alignment horizontal="left" vertical="center" shrinkToFit="1"/>
      <protection locked="0"/>
    </xf>
    <xf numFmtId="1" fontId="8" fillId="42" borderId="24" xfId="10" applyNumberFormat="1" applyFont="1" applyFill="1" applyBorder="1" applyAlignment="1" applyProtection="1">
      <alignment horizontal="right" vertical="center" shrinkToFit="1"/>
      <protection locked="0"/>
    </xf>
    <xf numFmtId="0" fontId="8" fillId="42" borderId="6" xfId="10" applyFont="1" applyFill="1" applyBorder="1" applyAlignment="1" applyProtection="1">
      <alignment horizontal="left" vertical="center" wrapText="1" shrinkToFit="1"/>
      <protection locked="0"/>
    </xf>
    <xf numFmtId="49" fontId="8" fillId="42" borderId="6" xfId="10" applyNumberFormat="1" applyFont="1" applyFill="1" applyBorder="1" applyAlignment="1">
      <alignment horizontal="left" vertical="center" wrapText="1"/>
    </xf>
    <xf numFmtId="0" fontId="8" fillId="42" borderId="6" xfId="10" applyFont="1" applyFill="1" applyBorder="1" applyAlignment="1">
      <alignment horizontal="left" vertical="center" shrinkToFit="1"/>
    </xf>
    <xf numFmtId="1" fontId="8" fillId="42" borderId="24" xfId="10" applyNumberFormat="1" applyFont="1" applyFill="1" applyBorder="1" applyAlignment="1">
      <alignment horizontal="right" vertical="center" shrinkToFit="1"/>
    </xf>
    <xf numFmtId="0" fontId="8" fillId="42" borderId="56" xfId="10" applyFont="1" applyFill="1" applyBorder="1" applyAlignment="1" applyProtection="1">
      <alignment horizontal="left" vertical="center" shrinkToFit="1"/>
      <protection locked="0"/>
    </xf>
    <xf numFmtId="0" fontId="8" fillId="42" borderId="27" xfId="10" applyFont="1" applyFill="1" applyBorder="1" applyAlignment="1" applyProtection="1">
      <alignment horizontal="left" vertical="center" wrapText="1" shrinkToFit="1"/>
      <protection locked="0"/>
    </xf>
    <xf numFmtId="49" fontId="8" fillId="42" borderId="27" xfId="10" applyNumberFormat="1" applyFont="1" applyFill="1" applyBorder="1" applyAlignment="1" applyProtection="1">
      <alignment horizontal="left" vertical="center" wrapText="1" shrinkToFit="1"/>
      <protection locked="0"/>
    </xf>
    <xf numFmtId="0" fontId="8" fillId="42" borderId="27" xfId="10" applyFont="1" applyFill="1" applyBorder="1" applyAlignment="1" applyProtection="1">
      <alignment horizontal="left" vertical="center" shrinkToFit="1"/>
      <protection locked="0"/>
    </xf>
    <xf numFmtId="1" fontId="8" fillId="42" borderId="28" xfId="10" applyNumberFormat="1" applyFont="1" applyFill="1" applyBorder="1" applyAlignment="1" applyProtection="1">
      <alignment horizontal="right" vertical="center" shrinkToFit="1"/>
      <protection locked="0"/>
    </xf>
    <xf numFmtId="0" fontId="8" fillId="43" borderId="56" xfId="10" applyFont="1" applyFill="1" applyBorder="1" applyAlignment="1" applyProtection="1">
      <alignment horizontal="left" vertical="center" shrinkToFit="1"/>
      <protection locked="0"/>
    </xf>
    <xf numFmtId="0" fontId="8" fillId="43" borderId="27" xfId="10" applyFont="1" applyFill="1" applyBorder="1" applyAlignment="1" applyProtection="1">
      <alignment horizontal="left" vertical="center" wrapText="1" shrinkToFit="1"/>
      <protection locked="0"/>
    </xf>
    <xf numFmtId="49" fontId="8" fillId="43" borderId="27" xfId="10" applyNumberFormat="1" applyFont="1" applyFill="1" applyBorder="1" applyAlignment="1" applyProtection="1">
      <alignment horizontal="left" vertical="center" wrapText="1" shrinkToFit="1"/>
      <protection locked="0"/>
    </xf>
    <xf numFmtId="0" fontId="8" fillId="43" borderId="27" xfId="10" applyFont="1" applyFill="1" applyBorder="1" applyAlignment="1" applyProtection="1">
      <alignment horizontal="left" vertical="center" shrinkToFit="1"/>
      <protection locked="0"/>
    </xf>
    <xf numFmtId="49" fontId="8" fillId="42" borderId="18" xfId="10" applyNumberFormat="1" applyFont="1" applyFill="1" applyBorder="1" applyAlignment="1" applyProtection="1">
      <alignment horizontal="left" vertical="center" wrapText="1" shrinkToFit="1"/>
      <protection locked="0"/>
    </xf>
    <xf numFmtId="0" fontId="8" fillId="42" borderId="18" xfId="10" applyFont="1" applyFill="1" applyBorder="1" applyAlignment="1">
      <alignment horizontal="left" vertical="center" shrinkToFit="1"/>
    </xf>
    <xf numFmtId="1" fontId="8" fillId="42" borderId="29" xfId="10" applyNumberFormat="1" applyFont="1" applyFill="1" applyBorder="1" applyAlignment="1">
      <alignment horizontal="right" vertical="center" shrinkToFit="1"/>
    </xf>
    <xf numFmtId="49" fontId="8" fillId="42" borderId="6" xfId="10" applyNumberFormat="1" applyFont="1" applyFill="1" applyBorder="1" applyAlignment="1" applyProtection="1">
      <alignment horizontal="left" vertical="center" wrapText="1" shrinkToFit="1"/>
      <protection locked="0"/>
    </xf>
    <xf numFmtId="49" fontId="8" fillId="42" borderId="23" xfId="10" applyNumberFormat="1" applyFont="1" applyFill="1" applyBorder="1" applyAlignment="1" applyProtection="1">
      <alignment horizontal="left" vertical="center" shrinkToFit="1"/>
      <protection locked="0"/>
    </xf>
    <xf numFmtId="0" fontId="8" fillId="42" borderId="6" xfId="10" applyFont="1" applyFill="1" applyBorder="1" applyAlignment="1">
      <alignment horizontal="left" vertical="center" wrapText="1" shrinkToFit="1"/>
    </xf>
    <xf numFmtId="0" fontId="8" fillId="42" borderId="56" xfId="10" applyFont="1" applyFill="1" applyBorder="1" applyAlignment="1">
      <alignment horizontal="left" vertical="center" shrinkToFit="1"/>
    </xf>
    <xf numFmtId="2" fontId="8" fillId="42" borderId="27" xfId="10" applyNumberFormat="1" applyFont="1" applyFill="1" applyBorder="1" applyAlignment="1" applyProtection="1">
      <alignment horizontal="left" vertical="center" wrapText="1" shrinkToFit="1"/>
      <protection locked="0"/>
    </xf>
    <xf numFmtId="49" fontId="8" fillId="42" borderId="27" xfId="10" applyNumberFormat="1" applyFont="1" applyFill="1" applyBorder="1" applyAlignment="1">
      <alignment horizontal="left" vertical="center" wrapText="1" shrinkToFit="1"/>
    </xf>
    <xf numFmtId="0" fontId="8" fillId="42" borderId="27" xfId="10" applyFont="1" applyFill="1" applyBorder="1" applyAlignment="1">
      <alignment horizontal="left" vertical="center" shrinkToFit="1"/>
    </xf>
    <xf numFmtId="1" fontId="8" fillId="42" borderId="28" xfId="10" applyNumberFormat="1" applyFont="1" applyFill="1" applyBorder="1" applyAlignment="1">
      <alignment horizontal="right" vertical="center" shrinkToFit="1"/>
    </xf>
    <xf numFmtId="0" fontId="8" fillId="43" borderId="18" xfId="10" applyFont="1" applyFill="1" applyBorder="1" applyAlignment="1">
      <alignment horizontal="left" vertical="center" shrinkToFit="1"/>
    </xf>
    <xf numFmtId="1" fontId="8" fillId="43" borderId="29" xfId="10" applyNumberFormat="1" applyFont="1" applyFill="1" applyBorder="1" applyAlignment="1">
      <alignment horizontal="right" vertical="center" shrinkToFit="1"/>
    </xf>
    <xf numFmtId="0" fontId="8" fillId="43" borderId="6" xfId="10" applyFont="1" applyFill="1" applyBorder="1" applyAlignment="1">
      <alignment horizontal="left" vertical="center" shrinkToFit="1"/>
    </xf>
    <xf numFmtId="1" fontId="8" fillId="43" borderId="24" xfId="10" applyNumberFormat="1" applyFont="1" applyFill="1" applyBorder="1" applyAlignment="1">
      <alignment horizontal="right" vertical="center" shrinkToFit="1"/>
    </xf>
    <xf numFmtId="0" fontId="8" fillId="43" borderId="6" xfId="10" applyFont="1" applyFill="1" applyBorder="1" applyAlignment="1">
      <alignment horizontal="left" vertical="center" wrapText="1" shrinkToFit="1"/>
    </xf>
    <xf numFmtId="0" fontId="8" fillId="43" borderId="23" xfId="10" applyFont="1" applyFill="1" applyBorder="1" applyAlignment="1">
      <alignment horizontal="left" vertical="center" shrinkToFit="1"/>
    </xf>
    <xf numFmtId="49" fontId="8" fillId="43" borderId="6" xfId="10" applyNumberFormat="1" applyFont="1" applyFill="1" applyBorder="1" applyAlignment="1">
      <alignment horizontal="left" vertical="center" wrapText="1" shrinkToFit="1"/>
    </xf>
    <xf numFmtId="0" fontId="8" fillId="43" borderId="56" xfId="10" applyFont="1" applyFill="1" applyBorder="1" applyAlignment="1">
      <alignment horizontal="left" vertical="center" shrinkToFit="1"/>
    </xf>
    <xf numFmtId="0" fontId="8" fillId="43" borderId="27" xfId="10" applyFont="1" applyFill="1" applyBorder="1" applyAlignment="1">
      <alignment horizontal="left" vertical="center" wrapText="1" shrinkToFit="1"/>
    </xf>
    <xf numFmtId="49" fontId="8" fillId="43" borderId="27" xfId="10" applyNumberFormat="1" applyFont="1" applyFill="1" applyBorder="1" applyAlignment="1">
      <alignment horizontal="left" vertical="center" wrapText="1" shrinkToFit="1"/>
    </xf>
    <xf numFmtId="0" fontId="8" fillId="43" borderId="27" xfId="10" applyFont="1" applyFill="1" applyBorder="1" applyAlignment="1">
      <alignment horizontal="left" vertical="center" shrinkToFit="1"/>
    </xf>
    <xf numFmtId="1" fontId="8" fillId="43" borderId="28" xfId="10" applyNumberFormat="1" applyFont="1" applyFill="1" applyBorder="1" applyAlignment="1">
      <alignment horizontal="right" vertical="center" shrinkToFit="1"/>
    </xf>
    <xf numFmtId="0" fontId="8" fillId="42" borderId="40" xfId="10" applyFont="1" applyFill="1" applyBorder="1" applyAlignment="1" applyProtection="1">
      <alignment horizontal="left" vertical="center" wrapText="1"/>
      <protection locked="0"/>
    </xf>
    <xf numFmtId="0" fontId="8" fillId="42" borderId="13" xfId="10" applyFont="1" applyFill="1" applyBorder="1" applyAlignment="1" applyProtection="1">
      <alignment horizontal="left" vertical="center" wrapText="1"/>
      <protection locked="0"/>
    </xf>
    <xf numFmtId="1" fontId="8" fillId="42" borderId="19" xfId="10" applyNumberFormat="1" applyFont="1" applyFill="1" applyBorder="1" applyAlignment="1" applyProtection="1">
      <alignment horizontal="right" vertical="center" wrapText="1"/>
      <protection locked="0"/>
    </xf>
    <xf numFmtId="0" fontId="8" fillId="43" borderId="22" xfId="10" applyFont="1" applyFill="1" applyBorder="1" applyAlignment="1" applyProtection="1">
      <alignment horizontal="left" vertical="center" wrapText="1"/>
      <protection locked="0"/>
    </xf>
    <xf numFmtId="0" fontId="8" fillId="43" borderId="18" xfId="10" applyFont="1" applyFill="1" applyBorder="1" applyAlignment="1" applyProtection="1">
      <alignment horizontal="left" vertical="center" wrapText="1"/>
      <protection locked="0"/>
    </xf>
    <xf numFmtId="1" fontId="8" fillId="43" borderId="29" xfId="10" applyNumberFormat="1" applyFont="1" applyFill="1" applyBorder="1" applyAlignment="1" applyProtection="1">
      <alignment horizontal="right" vertical="center" wrapText="1"/>
      <protection locked="0"/>
    </xf>
    <xf numFmtId="0" fontId="8" fillId="43" borderId="23" xfId="10" applyFont="1" applyFill="1" applyBorder="1" applyAlignment="1" applyProtection="1">
      <alignment horizontal="left" vertical="center" wrapText="1"/>
      <protection locked="0"/>
    </xf>
    <xf numFmtId="0" fontId="8" fillId="43" borderId="6" xfId="10" applyFont="1" applyFill="1" applyBorder="1" applyAlignment="1" applyProtection="1">
      <alignment horizontal="left" vertical="center" wrapText="1"/>
      <protection locked="0"/>
    </xf>
    <xf numFmtId="1" fontId="8" fillId="43" borderId="24" xfId="10" applyNumberFormat="1" applyFont="1" applyFill="1" applyBorder="1" applyAlignment="1" applyProtection="1">
      <alignment horizontal="right" vertical="center" wrapText="1"/>
      <protection locked="0"/>
    </xf>
    <xf numFmtId="0" fontId="8" fillId="42" borderId="55" xfId="10" applyFont="1" applyFill="1" applyBorder="1" applyAlignment="1" applyProtection="1">
      <alignment horizontal="left" vertical="center" wrapText="1"/>
      <protection locked="0"/>
    </xf>
    <xf numFmtId="0" fontId="8" fillId="42" borderId="52" xfId="10" applyFont="1" applyFill="1" applyBorder="1" applyAlignment="1" applyProtection="1">
      <alignment horizontal="left" vertical="center" wrapText="1"/>
      <protection locked="0"/>
    </xf>
    <xf numFmtId="49" fontId="8" fillId="42" borderId="52" xfId="10" applyNumberFormat="1" applyFont="1" applyFill="1" applyBorder="1" applyAlignment="1" applyProtection="1">
      <alignment horizontal="left" vertical="center" wrapText="1" shrinkToFit="1"/>
      <protection locked="0"/>
    </xf>
    <xf numFmtId="1" fontId="8" fillId="42" borderId="53" xfId="10" applyNumberFormat="1" applyFont="1" applyFill="1" applyBorder="1" applyAlignment="1" applyProtection="1">
      <alignment horizontal="right" vertical="center" wrapText="1"/>
      <protection locked="0"/>
    </xf>
    <xf numFmtId="0" fontId="10" fillId="33" borderId="39" xfId="10" applyFont="1" applyFill="1" applyBorder="1" applyAlignment="1" applyProtection="1">
      <alignment horizontal="left" vertical="center" wrapText="1"/>
      <protection locked="0"/>
    </xf>
    <xf numFmtId="1" fontId="10" fillId="44" borderId="30" xfId="10" applyNumberFormat="1" applyFont="1" applyFill="1" applyBorder="1" applyAlignment="1" applyProtection="1">
      <alignment horizontal="left" vertical="center" wrapText="1"/>
      <protection locked="0"/>
    </xf>
    <xf numFmtId="1" fontId="10" fillId="44" borderId="177" xfId="10" applyNumberFormat="1" applyFont="1" applyFill="1" applyBorder="1" applyAlignment="1" applyProtection="1">
      <alignment horizontal="left" vertical="center" wrapText="1"/>
      <protection locked="0"/>
    </xf>
    <xf numFmtId="1" fontId="10" fillId="44" borderId="178" xfId="10" applyNumberFormat="1" applyFont="1" applyFill="1" applyBorder="1" applyAlignment="1" applyProtection="1">
      <alignment horizontal="left" vertical="center" wrapText="1"/>
      <protection locked="0"/>
    </xf>
    <xf numFmtId="1" fontId="10" fillId="44" borderId="70" xfId="10" applyNumberFormat="1" applyFont="1" applyFill="1" applyBorder="1" applyAlignment="1" applyProtection="1">
      <alignment horizontal="left" vertical="center" wrapText="1"/>
      <protection locked="0"/>
    </xf>
    <xf numFmtId="1" fontId="10" fillId="44" borderId="179" xfId="10" applyNumberFormat="1" applyFont="1" applyFill="1" applyBorder="1" applyAlignment="1" applyProtection="1">
      <alignment horizontal="left" vertical="center" wrapText="1"/>
      <protection locked="0"/>
    </xf>
    <xf numFmtId="2" fontId="8" fillId="27" borderId="17" xfId="10" applyNumberFormat="1" applyFont="1" applyFill="1" applyBorder="1" applyAlignment="1">
      <alignment horizontal="left" vertical="center" wrapText="1"/>
    </xf>
    <xf numFmtId="2" fontId="8" fillId="27" borderId="14" xfId="10" applyNumberFormat="1" applyFont="1" applyFill="1" applyBorder="1" applyAlignment="1">
      <alignment horizontal="left" vertical="center" wrapText="1"/>
    </xf>
    <xf numFmtId="1" fontId="8" fillId="27" borderId="54" xfId="10" applyNumberFormat="1" applyFont="1" applyFill="1" applyBorder="1" applyAlignment="1" applyProtection="1">
      <alignment horizontal="right" vertical="center" wrapText="1"/>
      <protection locked="0"/>
    </xf>
    <xf numFmtId="2" fontId="8" fillId="27" borderId="23" xfId="10" applyNumberFormat="1" applyFont="1" applyFill="1" applyBorder="1" applyAlignment="1">
      <alignment horizontal="left" vertical="center" wrapText="1"/>
    </xf>
    <xf numFmtId="2" fontId="8" fillId="27" borderId="6" xfId="10" applyNumberFormat="1" applyFont="1" applyFill="1" applyBorder="1" applyAlignment="1">
      <alignment horizontal="left" vertical="center" wrapText="1"/>
    </xf>
    <xf numFmtId="1" fontId="8" fillId="27" borderId="24" xfId="10" applyNumberFormat="1" applyFont="1" applyFill="1" applyBorder="1" applyAlignment="1" applyProtection="1">
      <alignment horizontal="right" vertical="center" wrapText="1"/>
      <protection locked="0"/>
    </xf>
    <xf numFmtId="0" fontId="8" fillId="27" borderId="23" xfId="10" applyFont="1" applyFill="1" applyBorder="1" applyAlignment="1" applyProtection="1">
      <alignment horizontal="left" vertical="center" wrapText="1" shrinkToFit="1"/>
      <protection locked="0"/>
    </xf>
    <xf numFmtId="0" fontId="8" fillId="27" borderId="6" xfId="10" applyFont="1" applyFill="1" applyBorder="1" applyAlignment="1" applyProtection="1">
      <alignment horizontal="left" vertical="center" wrapText="1" shrinkToFit="1"/>
      <protection locked="0"/>
    </xf>
    <xf numFmtId="0" fontId="8" fillId="27" borderId="23" xfId="10" applyFont="1" applyFill="1" applyBorder="1" applyAlignment="1" applyProtection="1">
      <alignment horizontal="left" vertical="center" wrapText="1"/>
      <protection locked="0"/>
    </xf>
    <xf numFmtId="0" fontId="8" fillId="27" borderId="6" xfId="10" applyFont="1" applyFill="1" applyBorder="1" applyAlignment="1" applyProtection="1">
      <alignment horizontal="left" vertical="center" wrapText="1"/>
      <protection locked="0"/>
    </xf>
    <xf numFmtId="49" fontId="8" fillId="27" borderId="6" xfId="10" applyNumberFormat="1" applyFont="1" applyFill="1" applyBorder="1" applyAlignment="1" applyProtection="1">
      <alignment horizontal="left" vertical="center" wrapText="1" shrinkToFit="1"/>
      <protection locked="0"/>
    </xf>
    <xf numFmtId="1" fontId="8" fillId="27" borderId="34" xfId="10" applyNumberFormat="1" applyFont="1" applyFill="1" applyBorder="1" applyAlignment="1" applyProtection="1">
      <alignment horizontal="right" vertical="center" wrapText="1"/>
      <protection locked="0"/>
    </xf>
    <xf numFmtId="2" fontId="8" fillId="27" borderId="56" xfId="10" applyNumberFormat="1" applyFont="1" applyFill="1" applyBorder="1" applyAlignment="1">
      <alignment horizontal="left" vertical="center" wrapText="1"/>
    </xf>
    <xf numFmtId="2" fontId="8" fillId="27" borderId="27" xfId="10" applyNumberFormat="1" applyFont="1" applyFill="1" applyBorder="1" applyAlignment="1">
      <alignment horizontal="left" vertical="center" wrapText="1"/>
    </xf>
    <xf numFmtId="1" fontId="8" fillId="27" borderId="68" xfId="10" applyNumberFormat="1" applyFont="1" applyFill="1" applyBorder="1" applyAlignment="1" applyProtection="1">
      <alignment horizontal="right" vertical="center" wrapText="1"/>
      <protection locked="0"/>
    </xf>
    <xf numFmtId="0" fontId="8" fillId="44" borderId="22" xfId="10" applyFont="1" applyFill="1" applyBorder="1" applyAlignment="1" applyProtection="1">
      <alignment horizontal="left" vertical="center" wrapText="1"/>
      <protection locked="0"/>
    </xf>
    <xf numFmtId="0" fontId="8" fillId="44" borderId="18" xfId="10" applyFont="1" applyFill="1" applyBorder="1" applyAlignment="1" applyProtection="1">
      <alignment horizontal="left" vertical="center" wrapText="1"/>
      <protection locked="0"/>
    </xf>
    <xf numFmtId="49" fontId="8" fillId="44" borderId="18" xfId="10" applyNumberFormat="1" applyFont="1" applyFill="1" applyBorder="1" applyAlignment="1" applyProtection="1">
      <alignment horizontal="left" vertical="center" wrapText="1" shrinkToFit="1"/>
      <protection locked="0"/>
    </xf>
    <xf numFmtId="1" fontId="8" fillId="44" borderId="50" xfId="10" applyNumberFormat="1" applyFont="1" applyFill="1" applyBorder="1" applyAlignment="1" applyProtection="1">
      <alignment horizontal="right" vertical="center" wrapText="1"/>
      <protection locked="0"/>
    </xf>
    <xf numFmtId="0" fontId="8" fillId="44" borderId="23" xfId="10" applyFont="1" applyFill="1" applyBorder="1" applyAlignment="1" applyProtection="1">
      <alignment horizontal="left" vertical="center" wrapText="1"/>
      <protection locked="0"/>
    </xf>
    <xf numFmtId="0" fontId="8" fillId="44" borderId="6" xfId="10" applyFont="1" applyFill="1" applyBorder="1" applyAlignment="1" applyProtection="1">
      <alignment horizontal="left" vertical="center" wrapText="1"/>
      <protection locked="0"/>
    </xf>
    <xf numFmtId="49" fontId="8" fillId="44" borderId="6" xfId="10" applyNumberFormat="1" applyFont="1" applyFill="1" applyBorder="1" applyAlignment="1" applyProtection="1">
      <alignment horizontal="left" vertical="center" wrapText="1" shrinkToFit="1"/>
      <protection locked="0"/>
    </xf>
    <xf numFmtId="1" fontId="8" fillId="44" borderId="34" xfId="10" applyNumberFormat="1" applyFont="1" applyFill="1" applyBorder="1" applyAlignment="1" applyProtection="1">
      <alignment horizontal="right" vertical="center" wrapText="1"/>
      <protection locked="0"/>
    </xf>
    <xf numFmtId="2" fontId="8" fillId="44" borderId="15" xfId="10" applyNumberFormat="1" applyFont="1" applyFill="1" applyBorder="1" applyAlignment="1">
      <alignment horizontal="left" vertical="center" wrapText="1"/>
    </xf>
    <xf numFmtId="2" fontId="8" fillId="44" borderId="25" xfId="10" applyNumberFormat="1" applyFont="1" applyFill="1" applyBorder="1" applyAlignment="1">
      <alignment horizontal="left" vertical="center" wrapText="1"/>
    </xf>
    <xf numFmtId="1" fontId="8" fillId="44" borderId="49" xfId="10" applyNumberFormat="1" applyFont="1" applyFill="1" applyBorder="1" applyAlignment="1" applyProtection="1">
      <alignment horizontal="right" vertical="center" wrapText="1"/>
      <protection locked="0"/>
    </xf>
    <xf numFmtId="0" fontId="8" fillId="27" borderId="22" xfId="10" applyFont="1" applyFill="1" applyBorder="1" applyAlignment="1" applyProtection="1">
      <alignment horizontal="left" vertical="center" wrapText="1"/>
      <protection locked="0"/>
    </xf>
    <xf numFmtId="0" fontId="8" fillId="27" borderId="18" xfId="10" applyFont="1" applyFill="1" applyBorder="1" applyAlignment="1" applyProtection="1">
      <alignment horizontal="left" vertical="center" wrapText="1"/>
      <protection locked="0"/>
    </xf>
    <xf numFmtId="49" fontId="8" fillId="27" borderId="18" xfId="10" applyNumberFormat="1" applyFont="1" applyFill="1" applyBorder="1" applyAlignment="1" applyProtection="1">
      <alignment horizontal="left" vertical="center" wrapText="1" shrinkToFit="1"/>
      <protection locked="0"/>
    </xf>
    <xf numFmtId="1" fontId="8" fillId="27" borderId="50" xfId="10" applyNumberFormat="1" applyFont="1" applyFill="1" applyBorder="1" applyAlignment="1" applyProtection="1">
      <alignment horizontal="right" vertical="center" wrapText="1"/>
      <protection locked="0"/>
    </xf>
    <xf numFmtId="2" fontId="8" fillId="27" borderId="15" xfId="10" applyNumberFormat="1" applyFont="1" applyFill="1" applyBorder="1" applyAlignment="1">
      <alignment horizontal="left" vertical="center" wrapText="1"/>
    </xf>
    <xf numFmtId="2" fontId="8" fillId="27" borderId="25" xfId="10" applyNumberFormat="1" applyFont="1" applyFill="1" applyBorder="1" applyAlignment="1">
      <alignment horizontal="left" vertical="center" wrapText="1"/>
    </xf>
    <xf numFmtId="1" fontId="8" fillId="27" borderId="49" xfId="10" applyNumberFormat="1" applyFont="1" applyFill="1" applyBorder="1" applyAlignment="1" applyProtection="1">
      <alignment horizontal="right" vertical="center" wrapText="1"/>
      <protection locked="0"/>
    </xf>
    <xf numFmtId="1" fontId="10" fillId="44" borderId="16" xfId="10" applyNumberFormat="1" applyFont="1" applyFill="1" applyBorder="1" applyAlignment="1" applyProtection="1">
      <alignment horizontal="left" vertical="center" wrapText="1"/>
      <protection locked="0"/>
    </xf>
    <xf numFmtId="1" fontId="10" fillId="44" borderId="47" xfId="10" applyNumberFormat="1" applyFont="1" applyFill="1" applyBorder="1" applyAlignment="1" applyProtection="1">
      <alignment horizontal="left" vertical="center" wrapText="1"/>
      <protection locked="0"/>
    </xf>
    <xf numFmtId="1" fontId="10" fillId="44" borderId="66" xfId="10" applyNumberFormat="1" applyFont="1" applyFill="1" applyBorder="1" applyAlignment="1" applyProtection="1">
      <alignment horizontal="left" vertical="center" wrapText="1"/>
      <protection locked="0"/>
    </xf>
    <xf numFmtId="0" fontId="8" fillId="27" borderId="22" xfId="10" applyFont="1" applyFill="1" applyBorder="1" applyAlignment="1">
      <alignment horizontal="left" vertical="center" shrinkToFit="1"/>
    </xf>
    <xf numFmtId="0" fontId="8" fillId="27" borderId="18" xfId="10" applyFont="1" applyFill="1" applyBorder="1" applyAlignment="1" applyProtection="1">
      <alignment horizontal="left" vertical="center" wrapText="1" shrinkToFit="1"/>
      <protection locked="0"/>
    </xf>
    <xf numFmtId="0" fontId="8" fillId="27" borderId="18" xfId="10" applyFont="1" applyFill="1" applyBorder="1" applyAlignment="1" applyProtection="1">
      <alignment horizontal="left" vertical="center" shrinkToFit="1"/>
      <protection locked="0"/>
    </xf>
    <xf numFmtId="1" fontId="8" fillId="27" borderId="29" xfId="10" applyNumberFormat="1" applyFont="1" applyFill="1" applyBorder="1" applyAlignment="1" applyProtection="1">
      <alignment horizontal="right" vertical="center" shrinkToFit="1"/>
      <protection locked="0"/>
    </xf>
    <xf numFmtId="49" fontId="8" fillId="27" borderId="23" xfId="10" applyNumberFormat="1" applyFont="1" applyFill="1" applyBorder="1" applyAlignment="1" applyProtection="1">
      <alignment horizontal="left" vertical="center" shrinkToFit="1"/>
      <protection locked="0"/>
    </xf>
    <xf numFmtId="0" fontId="8" fillId="27" borderId="6" xfId="10" applyFont="1" applyFill="1" applyBorder="1" applyAlignment="1" applyProtection="1">
      <alignment horizontal="left" vertical="center" shrinkToFit="1"/>
      <protection locked="0"/>
    </xf>
    <xf numFmtId="1" fontId="8" fillId="27" borderId="24" xfId="10" applyNumberFormat="1" applyFont="1" applyFill="1" applyBorder="1" applyAlignment="1" applyProtection="1">
      <alignment horizontal="right" vertical="center" shrinkToFit="1"/>
      <protection locked="0"/>
    </xf>
    <xf numFmtId="0" fontId="8" fillId="27" borderId="23" xfId="10" applyFont="1" applyFill="1" applyBorder="1" applyAlignment="1" applyProtection="1">
      <alignment horizontal="left" vertical="center" shrinkToFit="1"/>
      <protection locked="0"/>
    </xf>
    <xf numFmtId="2" fontId="8" fillId="27" borderId="23" xfId="10" applyNumberFormat="1" applyFont="1" applyFill="1" applyBorder="1" applyAlignment="1" applyProtection="1">
      <alignment horizontal="left" vertical="center" shrinkToFit="1"/>
      <protection locked="0"/>
    </xf>
    <xf numFmtId="2" fontId="8" fillId="27" borderId="6" xfId="10" applyNumberFormat="1" applyFont="1" applyFill="1" applyBorder="1" applyAlignment="1" applyProtection="1">
      <alignment horizontal="left" vertical="center" wrapText="1" shrinkToFit="1"/>
      <protection locked="0"/>
    </xf>
    <xf numFmtId="2" fontId="8" fillId="27" borderId="6" xfId="10" applyNumberFormat="1" applyFont="1" applyFill="1" applyBorder="1" applyAlignment="1" applyProtection="1">
      <alignment horizontal="left" vertical="center" shrinkToFit="1"/>
      <protection locked="0"/>
    </xf>
    <xf numFmtId="2" fontId="8" fillId="27" borderId="56" xfId="10" applyNumberFormat="1" applyFont="1" applyFill="1" applyBorder="1" applyAlignment="1" applyProtection="1">
      <alignment horizontal="left" vertical="center" shrinkToFit="1"/>
      <protection locked="0"/>
    </xf>
    <xf numFmtId="2" fontId="8" fillId="27" borderId="27" xfId="10" applyNumberFormat="1" applyFont="1" applyFill="1" applyBorder="1" applyAlignment="1" applyProtection="1">
      <alignment horizontal="left" vertical="center" wrapText="1" shrinkToFit="1"/>
      <protection locked="0"/>
    </xf>
    <xf numFmtId="2" fontId="8" fillId="27" borderId="27" xfId="10" applyNumberFormat="1" applyFont="1" applyFill="1" applyBorder="1" applyAlignment="1" applyProtection="1">
      <alignment horizontal="left" vertical="center" shrinkToFit="1"/>
      <protection locked="0"/>
    </xf>
    <xf numFmtId="1" fontId="8" fillId="27" borderId="28" xfId="10" applyNumberFormat="1" applyFont="1" applyFill="1" applyBorder="1" applyAlignment="1" applyProtection="1">
      <alignment horizontal="right" vertical="center" shrinkToFit="1"/>
      <protection locked="0"/>
    </xf>
    <xf numFmtId="0" fontId="8" fillId="44" borderId="22" xfId="10" applyFont="1" applyFill="1" applyBorder="1" applyAlignment="1">
      <alignment horizontal="left" vertical="center" shrinkToFit="1"/>
    </xf>
    <xf numFmtId="0" fontId="8" fillId="44" borderId="18" xfId="10" applyFont="1" applyFill="1" applyBorder="1" applyAlignment="1" applyProtection="1">
      <alignment horizontal="left" vertical="center" wrapText="1" shrinkToFit="1"/>
      <protection locked="0"/>
    </xf>
    <xf numFmtId="49" fontId="8" fillId="44" borderId="18" xfId="10" applyNumberFormat="1" applyFont="1" applyFill="1" applyBorder="1" applyAlignment="1">
      <alignment horizontal="left" vertical="center" wrapText="1" shrinkToFit="1"/>
    </xf>
    <xf numFmtId="0" fontId="8" fillId="44" borderId="18" xfId="10" applyFont="1" applyFill="1" applyBorder="1" applyAlignment="1" applyProtection="1">
      <alignment horizontal="left" vertical="center" shrinkToFit="1"/>
      <protection locked="0"/>
    </xf>
    <xf numFmtId="1" fontId="8" fillId="44" borderId="29" xfId="10" applyNumberFormat="1" applyFont="1" applyFill="1" applyBorder="1" applyAlignment="1" applyProtection="1">
      <alignment horizontal="right" vertical="center" shrinkToFit="1"/>
      <protection locked="0"/>
    </xf>
    <xf numFmtId="0" fontId="8" fillId="44" borderId="23" xfId="10" applyFont="1" applyFill="1" applyBorder="1" applyAlignment="1" applyProtection="1">
      <alignment horizontal="left" vertical="center" shrinkToFit="1"/>
      <protection locked="0"/>
    </xf>
    <xf numFmtId="2" fontId="8" fillId="44" borderId="6" xfId="10" applyNumberFormat="1" applyFont="1" applyFill="1" applyBorder="1" applyAlignment="1">
      <alignment horizontal="left" vertical="center" wrapText="1"/>
    </xf>
    <xf numFmtId="49" fontId="8" fillId="44" borderId="6" xfId="10" applyNumberFormat="1" applyFont="1" applyFill="1" applyBorder="1" applyAlignment="1">
      <alignment horizontal="left" vertical="center" wrapText="1" shrinkToFit="1"/>
    </xf>
    <xf numFmtId="0" fontId="8" fillId="44" borderId="6" xfId="10" applyFont="1" applyFill="1" applyBorder="1" applyAlignment="1" applyProtection="1">
      <alignment horizontal="left" vertical="center" shrinkToFit="1"/>
      <protection locked="0"/>
    </xf>
    <xf numFmtId="1" fontId="8" fillId="44" borderId="24" xfId="10" applyNumberFormat="1" applyFont="1" applyFill="1" applyBorder="1" applyAlignment="1" applyProtection="1">
      <alignment horizontal="right" vertical="center" shrinkToFit="1"/>
      <protection locked="0"/>
    </xf>
    <xf numFmtId="0" fontId="8" fillId="44" borderId="6" xfId="10" applyFont="1" applyFill="1" applyBorder="1" applyAlignment="1" applyProtection="1">
      <alignment horizontal="left" vertical="center" wrapText="1" shrinkToFit="1"/>
      <protection locked="0"/>
    </xf>
    <xf numFmtId="49" fontId="8" fillId="44" borderId="6" xfId="10" applyNumberFormat="1" applyFont="1" applyFill="1" applyBorder="1" applyAlignment="1">
      <alignment horizontal="left" vertical="center" wrapText="1"/>
    </xf>
    <xf numFmtId="0" fontId="8" fillId="44" borderId="6" xfId="10" applyFont="1" applyFill="1" applyBorder="1" applyAlignment="1">
      <alignment horizontal="left" vertical="center" shrinkToFit="1"/>
    </xf>
    <xf numFmtId="1" fontId="8" fillId="44" borderId="24" xfId="10" applyNumberFormat="1" applyFont="1" applyFill="1" applyBorder="1" applyAlignment="1">
      <alignment horizontal="right" vertical="center" shrinkToFit="1"/>
    </xf>
    <xf numFmtId="0" fontId="8" fillId="44" borderId="56" xfId="10" applyFont="1" applyFill="1" applyBorder="1" applyAlignment="1" applyProtection="1">
      <alignment horizontal="left" vertical="center" shrinkToFit="1"/>
      <protection locked="0"/>
    </xf>
    <xf numFmtId="0" fontId="8" fillId="44" borderId="27" xfId="10" applyFont="1" applyFill="1" applyBorder="1" applyAlignment="1" applyProtection="1">
      <alignment horizontal="left" vertical="center" wrapText="1" shrinkToFit="1"/>
      <protection locked="0"/>
    </xf>
    <xf numFmtId="49" fontId="8" fillId="44" borderId="27" xfId="10" applyNumberFormat="1" applyFont="1" applyFill="1" applyBorder="1" applyAlignment="1" applyProtection="1">
      <alignment horizontal="left" vertical="center" wrapText="1" shrinkToFit="1"/>
      <protection locked="0"/>
    </xf>
    <xf numFmtId="0" fontId="8" fillId="44" borderId="27" xfId="10" applyFont="1" applyFill="1" applyBorder="1" applyAlignment="1" applyProtection="1">
      <alignment horizontal="left" vertical="center" shrinkToFit="1"/>
      <protection locked="0"/>
    </xf>
    <xf numFmtId="1" fontId="8" fillId="44" borderId="28" xfId="10" applyNumberFormat="1" applyFont="1" applyFill="1" applyBorder="1" applyAlignment="1" applyProtection="1">
      <alignment horizontal="right" vertical="center" shrinkToFit="1"/>
      <protection locked="0"/>
    </xf>
    <xf numFmtId="0" fontId="8" fillId="27" borderId="56" xfId="10" applyFont="1" applyFill="1" applyBorder="1" applyAlignment="1" applyProtection="1">
      <alignment horizontal="left" vertical="center" shrinkToFit="1"/>
      <protection locked="0"/>
    </xf>
    <xf numFmtId="0" fontId="8" fillId="27" borderId="27" xfId="10" applyFont="1" applyFill="1" applyBorder="1" applyAlignment="1" applyProtection="1">
      <alignment horizontal="left" vertical="center" wrapText="1" shrinkToFit="1"/>
      <protection locked="0"/>
    </xf>
    <xf numFmtId="49" fontId="8" fillId="27" borderId="27" xfId="10" applyNumberFormat="1" applyFont="1" applyFill="1" applyBorder="1" applyAlignment="1" applyProtection="1">
      <alignment horizontal="left" vertical="center" wrapText="1" shrinkToFit="1"/>
      <protection locked="0"/>
    </xf>
    <xf numFmtId="0" fontId="8" fillId="27" borderId="27" xfId="10" applyFont="1" applyFill="1" applyBorder="1" applyAlignment="1" applyProtection="1">
      <alignment horizontal="left" vertical="center" shrinkToFit="1"/>
      <protection locked="0"/>
    </xf>
    <xf numFmtId="0" fontId="8" fillId="44" borderId="18" xfId="10" applyFont="1" applyFill="1" applyBorder="1" applyAlignment="1">
      <alignment horizontal="left" vertical="center" shrinkToFit="1"/>
    </xf>
    <xf numFmtId="1" fontId="8" fillId="44" borderId="29" xfId="10" applyNumberFormat="1" applyFont="1" applyFill="1" applyBorder="1" applyAlignment="1">
      <alignment horizontal="right" vertical="center" shrinkToFit="1"/>
    </xf>
    <xf numFmtId="49" fontId="8" fillId="44" borderId="23" xfId="10" applyNumberFormat="1" applyFont="1" applyFill="1" applyBorder="1" applyAlignment="1" applyProtection="1">
      <alignment horizontal="left" vertical="center" shrinkToFit="1"/>
      <protection locked="0"/>
    </xf>
    <xf numFmtId="0" fontId="8" fillId="44" borderId="6" xfId="10" applyFont="1" applyFill="1" applyBorder="1" applyAlignment="1">
      <alignment horizontal="left" vertical="center" wrapText="1" shrinkToFit="1"/>
    </xf>
    <xf numFmtId="0" fontId="8" fillId="44" borderId="56" xfId="10" applyFont="1" applyFill="1" applyBorder="1" applyAlignment="1">
      <alignment horizontal="left" vertical="center" shrinkToFit="1"/>
    </xf>
    <xf numFmtId="2" fontId="8" fillId="44" borderId="27" xfId="10" applyNumberFormat="1" applyFont="1" applyFill="1" applyBorder="1" applyAlignment="1" applyProtection="1">
      <alignment horizontal="left" vertical="center" wrapText="1" shrinkToFit="1"/>
      <protection locked="0"/>
    </xf>
    <xf numFmtId="49" fontId="8" fillId="44" borderId="27" xfId="10" applyNumberFormat="1" applyFont="1" applyFill="1" applyBorder="1" applyAlignment="1">
      <alignment horizontal="left" vertical="center" wrapText="1" shrinkToFit="1"/>
    </xf>
    <xf numFmtId="0" fontId="8" fillId="44" borderId="27" xfId="10" applyFont="1" applyFill="1" applyBorder="1" applyAlignment="1">
      <alignment horizontal="left" vertical="center" shrinkToFit="1"/>
    </xf>
    <xf numFmtId="1" fontId="8" fillId="44" borderId="28" xfId="10" applyNumberFormat="1" applyFont="1" applyFill="1" applyBorder="1" applyAlignment="1">
      <alignment horizontal="right" vertical="center" shrinkToFit="1"/>
    </xf>
    <xf numFmtId="0" fontId="8" fillId="27" borderId="18" xfId="10" applyFont="1" applyFill="1" applyBorder="1" applyAlignment="1">
      <alignment horizontal="left" vertical="center" shrinkToFit="1"/>
    </xf>
    <xf numFmtId="1" fontId="8" fillId="27" borderId="29" xfId="10" applyNumberFormat="1" applyFont="1" applyFill="1" applyBorder="1" applyAlignment="1">
      <alignment horizontal="right" vertical="center" shrinkToFit="1"/>
    </xf>
    <xf numFmtId="0" fontId="8" fillId="27" borderId="6" xfId="10" applyFont="1" applyFill="1" applyBorder="1" applyAlignment="1">
      <alignment horizontal="left" vertical="center" shrinkToFit="1"/>
    </xf>
    <xf numFmtId="1" fontId="8" fillId="27" borderId="24" xfId="10" applyNumberFormat="1" applyFont="1" applyFill="1" applyBorder="1" applyAlignment="1">
      <alignment horizontal="right" vertical="center" shrinkToFit="1"/>
    </xf>
    <xf numFmtId="0" fontId="8" fillId="27" borderId="6" xfId="10" applyFont="1" applyFill="1" applyBorder="1" applyAlignment="1">
      <alignment horizontal="left" vertical="center" wrapText="1" shrinkToFit="1"/>
    </xf>
    <xf numFmtId="0" fontId="8" fillId="27" borderId="23" xfId="10" applyFont="1" applyFill="1" applyBorder="1" applyAlignment="1">
      <alignment horizontal="left" vertical="center" shrinkToFit="1"/>
    </xf>
    <xf numFmtId="49" fontId="8" fillId="27" borderId="6" xfId="10" applyNumberFormat="1" applyFont="1" applyFill="1" applyBorder="1" applyAlignment="1">
      <alignment horizontal="left" vertical="center" wrapText="1" shrinkToFit="1"/>
    </xf>
    <xf numFmtId="0" fontId="8" fillId="27" borderId="56" xfId="10" applyFont="1" applyFill="1" applyBorder="1" applyAlignment="1">
      <alignment horizontal="left" vertical="center" shrinkToFit="1"/>
    </xf>
    <xf numFmtId="0" fontId="8" fillId="27" borderId="27" xfId="10" applyFont="1" applyFill="1" applyBorder="1" applyAlignment="1">
      <alignment horizontal="left" vertical="center" wrapText="1" shrinkToFit="1"/>
    </xf>
    <xf numFmtId="49" fontId="8" fillId="27" borderId="27" xfId="10" applyNumberFormat="1" applyFont="1" applyFill="1" applyBorder="1" applyAlignment="1">
      <alignment horizontal="left" vertical="center" wrapText="1" shrinkToFit="1"/>
    </xf>
    <xf numFmtId="0" fontId="8" fillId="27" borderId="27" xfId="10" applyFont="1" applyFill="1" applyBorder="1" applyAlignment="1">
      <alignment horizontal="left" vertical="center" shrinkToFit="1"/>
    </xf>
    <xf numFmtId="1" fontId="8" fillId="27" borderId="28" xfId="10" applyNumberFormat="1" applyFont="1" applyFill="1" applyBorder="1" applyAlignment="1">
      <alignment horizontal="right" vertical="center" shrinkToFit="1"/>
    </xf>
    <xf numFmtId="0" fontId="8" fillId="44" borderId="40" xfId="10" applyFont="1" applyFill="1" applyBorder="1" applyAlignment="1" applyProtection="1">
      <alignment horizontal="left" vertical="center" wrapText="1"/>
      <protection locked="0"/>
    </xf>
    <xf numFmtId="0" fontId="8" fillId="44" borderId="13" xfId="10" applyFont="1" applyFill="1" applyBorder="1" applyAlignment="1" applyProtection="1">
      <alignment horizontal="left" vertical="center" wrapText="1"/>
      <protection locked="0"/>
    </xf>
    <xf numFmtId="1" fontId="8" fillId="44" borderId="19" xfId="10" applyNumberFormat="1" applyFont="1" applyFill="1" applyBorder="1" applyAlignment="1" applyProtection="1">
      <alignment horizontal="right" vertical="center" wrapText="1"/>
      <protection locked="0"/>
    </xf>
    <xf numFmtId="1" fontId="8" fillId="27" borderId="29" xfId="10" applyNumberFormat="1" applyFont="1" applyFill="1" applyBorder="1" applyAlignment="1" applyProtection="1">
      <alignment horizontal="right" vertical="center" wrapText="1"/>
      <protection locked="0"/>
    </xf>
    <xf numFmtId="0" fontId="8" fillId="44" borderId="55" xfId="10" applyFont="1" applyFill="1" applyBorder="1" applyAlignment="1" applyProtection="1">
      <alignment horizontal="left" vertical="center" wrapText="1"/>
      <protection locked="0"/>
    </xf>
    <xf numFmtId="0" fontId="8" fillId="44" borderId="52" xfId="10" applyFont="1" applyFill="1" applyBorder="1" applyAlignment="1" applyProtection="1">
      <alignment horizontal="left" vertical="center" wrapText="1"/>
      <protection locked="0"/>
    </xf>
    <xf numFmtId="49" fontId="8" fillId="44" borderId="52" xfId="10" applyNumberFormat="1" applyFont="1" applyFill="1" applyBorder="1" applyAlignment="1" applyProtection="1">
      <alignment horizontal="left" vertical="center" wrapText="1" shrinkToFit="1"/>
      <protection locked="0"/>
    </xf>
    <xf numFmtId="1" fontId="8" fillId="44" borderId="53" xfId="10" applyNumberFormat="1" applyFont="1" applyFill="1" applyBorder="1" applyAlignment="1" applyProtection="1">
      <alignment horizontal="right" vertical="center" wrapText="1"/>
      <protection locked="0"/>
    </xf>
    <xf numFmtId="0" fontId="18" fillId="15" borderId="1" xfId="9" applyFont="1" applyFill="1" applyBorder="1" applyAlignment="1">
      <alignment horizontal="left" vertical="center" wrapText="1"/>
    </xf>
    <xf numFmtId="0" fontId="17" fillId="15" borderId="2" xfId="9" applyFont="1" applyFill="1" applyBorder="1" applyAlignment="1">
      <alignment horizontal="left" vertical="center" wrapText="1"/>
    </xf>
    <xf numFmtId="0" fontId="17" fillId="15" borderId="3" xfId="9" applyFont="1" applyFill="1" applyBorder="1" applyAlignment="1">
      <alignment horizontal="left" vertical="center" wrapText="1"/>
    </xf>
    <xf numFmtId="0" fontId="17" fillId="15" borderId="4" xfId="9" applyFont="1" applyFill="1" applyBorder="1" applyAlignment="1">
      <alignment horizontal="left" vertical="center" wrapText="1"/>
    </xf>
    <xf numFmtId="0" fontId="17" fillId="15" borderId="0" xfId="9" applyFont="1" applyFill="1" applyAlignment="1">
      <alignment horizontal="left" vertical="center" wrapText="1"/>
    </xf>
    <xf numFmtId="0" fontId="17" fillId="15" borderId="5" xfId="9" applyFont="1" applyFill="1" applyBorder="1" applyAlignment="1">
      <alignment horizontal="left" vertical="center" wrapText="1"/>
    </xf>
    <xf numFmtId="1" fontId="8" fillId="15" borderId="0" xfId="10" applyNumberFormat="1" applyFont="1" applyFill="1" applyAlignment="1" applyProtection="1">
      <alignment horizontal="left" vertical="center" wrapText="1"/>
      <protection locked="0"/>
    </xf>
    <xf numFmtId="1" fontId="8" fillId="15" borderId="5" xfId="10" applyNumberFormat="1" applyFont="1" applyFill="1" applyBorder="1" applyAlignment="1" applyProtection="1">
      <alignment horizontal="left" vertical="center" wrapText="1"/>
      <protection locked="0"/>
    </xf>
    <xf numFmtId="2" fontId="8" fillId="9" borderId="0" xfId="10" applyNumberFormat="1" applyFont="1" applyFill="1" applyAlignment="1" applyProtection="1">
      <alignment horizontal="right" vertical="center" wrapText="1"/>
      <protection locked="0"/>
    </xf>
    <xf numFmtId="2" fontId="8" fillId="9" borderId="5" xfId="10" applyNumberFormat="1" applyFont="1" applyFill="1" applyBorder="1" applyAlignment="1" applyProtection="1">
      <alignment horizontal="right" vertical="center" wrapText="1"/>
      <protection locked="0"/>
    </xf>
    <xf numFmtId="0" fontId="17" fillId="15" borderId="9" xfId="9" applyFont="1" applyFill="1" applyBorder="1" applyAlignment="1">
      <alignment horizontal="left" vertical="center" wrapText="1"/>
    </xf>
    <xf numFmtId="0" fontId="17" fillId="15" borderId="10" xfId="9" applyFont="1" applyFill="1" applyBorder="1" applyAlignment="1">
      <alignment horizontal="left" vertical="center" wrapText="1"/>
    </xf>
    <xf numFmtId="0" fontId="17" fillId="15" borderId="11" xfId="9" applyFont="1" applyFill="1" applyBorder="1" applyAlignment="1">
      <alignment horizontal="left" vertical="center" wrapText="1"/>
    </xf>
    <xf numFmtId="0" fontId="8" fillId="40" borderId="14" xfId="10" applyFont="1" applyFill="1" applyBorder="1" applyAlignment="1" applyProtection="1">
      <alignment horizontal="left" vertical="center" wrapText="1" shrinkToFit="1"/>
      <protection locked="0"/>
    </xf>
    <xf numFmtId="49" fontId="8" fillId="40" borderId="14" xfId="10" applyNumberFormat="1" applyFont="1" applyFill="1" applyBorder="1" applyAlignment="1" applyProtection="1">
      <alignment horizontal="left" vertical="center" wrapText="1" shrinkToFit="1"/>
      <protection locked="0"/>
    </xf>
    <xf numFmtId="0" fontId="8" fillId="40" borderId="14" xfId="10" applyFont="1" applyFill="1" applyBorder="1" applyAlignment="1" applyProtection="1">
      <alignment horizontal="left" vertical="center" shrinkToFit="1"/>
      <protection locked="0"/>
    </xf>
    <xf numFmtId="1" fontId="8" fillId="40" borderId="54" xfId="10" applyNumberFormat="1" applyFont="1" applyFill="1" applyBorder="1" applyAlignment="1" applyProtection="1">
      <alignment horizontal="right" vertical="center" shrinkToFit="1"/>
      <protection locked="0"/>
    </xf>
    <xf numFmtId="2" fontId="8" fillId="15" borderId="17" xfId="10" applyNumberFormat="1" applyFont="1" applyFill="1" applyBorder="1" applyAlignment="1" applyProtection="1">
      <alignment horizontal="right" vertical="center" shrinkToFit="1"/>
      <protection locked="0"/>
    </xf>
    <xf numFmtId="2" fontId="8" fillId="7" borderId="14" xfId="10" applyNumberFormat="1" applyFont="1" applyFill="1" applyBorder="1" applyAlignment="1" applyProtection="1">
      <alignment horizontal="right" vertical="center" shrinkToFit="1"/>
      <protection locked="0"/>
    </xf>
    <xf numFmtId="2" fontId="8" fillId="7" borderId="54" xfId="10" applyNumberFormat="1" applyFont="1" applyFill="1" applyBorder="1" applyAlignment="1" applyProtection="1">
      <alignment horizontal="right" vertical="center" shrinkToFit="1"/>
      <protection locked="0"/>
    </xf>
    <xf numFmtId="2" fontId="8" fillId="15" borderId="69" xfId="10" applyNumberFormat="1" applyFont="1" applyFill="1" applyBorder="1" applyAlignment="1" applyProtection="1">
      <alignment horizontal="right" vertical="center" shrinkToFit="1"/>
      <protection locked="0"/>
    </xf>
    <xf numFmtId="49" fontId="8" fillId="40" borderId="17" xfId="10" applyNumberFormat="1" applyFont="1" applyFill="1" applyBorder="1" applyAlignment="1" applyProtection="1">
      <alignment horizontal="left" vertical="center" shrinkToFit="1"/>
      <protection locked="0"/>
    </xf>
    <xf numFmtId="0" fontId="8" fillId="40" borderId="180" xfId="10" applyFont="1" applyFill="1" applyBorder="1" applyAlignment="1">
      <alignment horizontal="left" vertical="center" shrinkToFit="1"/>
    </xf>
    <xf numFmtId="0" fontId="8" fillId="40" borderId="181" xfId="10" applyFont="1" applyFill="1" applyBorder="1" applyAlignment="1" applyProtection="1">
      <alignment horizontal="left" vertical="center" wrapText="1" shrinkToFit="1"/>
      <protection locked="0"/>
    </xf>
    <xf numFmtId="49" fontId="8" fillId="40" borderId="181" xfId="10" applyNumberFormat="1" applyFont="1" applyFill="1" applyBorder="1" applyAlignment="1" applyProtection="1">
      <alignment horizontal="left" vertical="center" wrapText="1" shrinkToFit="1"/>
      <protection locked="0"/>
    </xf>
    <xf numFmtId="0" fontId="8" fillId="40" borderId="181" xfId="10" applyFont="1" applyFill="1" applyBorder="1" applyAlignment="1" applyProtection="1">
      <alignment horizontal="left" vertical="center" shrinkToFit="1"/>
      <protection locked="0"/>
    </xf>
    <xf numFmtId="1" fontId="8" fillId="40" borderId="182" xfId="10" applyNumberFormat="1" applyFont="1" applyFill="1" applyBorder="1" applyAlignment="1" applyProtection="1">
      <alignment horizontal="right" vertical="center" shrinkToFit="1"/>
      <protection locked="0"/>
    </xf>
    <xf numFmtId="0" fontId="8" fillId="40" borderId="55" xfId="10" applyFont="1" applyFill="1" applyBorder="1" applyAlignment="1">
      <alignment horizontal="left" vertical="center" shrinkToFit="1"/>
    </xf>
    <xf numFmtId="0" fontId="8" fillId="40" borderId="52" xfId="10" applyFont="1" applyFill="1" applyBorder="1" applyAlignment="1" applyProtection="1">
      <alignment horizontal="left" vertical="center" wrapText="1" shrinkToFit="1"/>
      <protection locked="0"/>
    </xf>
    <xf numFmtId="49" fontId="8" fillId="40" borderId="52" xfId="10" applyNumberFormat="1" applyFont="1" applyFill="1" applyBorder="1" applyAlignment="1" applyProtection="1">
      <alignment horizontal="left" vertical="center" wrapText="1" shrinkToFit="1"/>
      <protection locked="0"/>
    </xf>
    <xf numFmtId="0" fontId="8" fillId="40" borderId="52" xfId="10" applyFont="1" applyFill="1" applyBorder="1" applyAlignment="1" applyProtection="1">
      <alignment horizontal="left" vertical="center" shrinkToFit="1"/>
      <protection locked="0"/>
    </xf>
    <xf numFmtId="1" fontId="8" fillId="40" borderId="53" xfId="10" applyNumberFormat="1" applyFont="1" applyFill="1" applyBorder="1" applyAlignment="1" applyProtection="1">
      <alignment horizontal="right" vertical="center" shrinkToFit="1"/>
      <protection locked="0"/>
    </xf>
    <xf numFmtId="49" fontId="8" fillId="36" borderId="181" xfId="10" applyNumberFormat="1" applyFont="1" applyFill="1" applyBorder="1" applyAlignment="1">
      <alignment horizontal="left" vertical="center" wrapText="1" shrinkToFit="1"/>
    </xf>
    <xf numFmtId="0" fontId="8" fillId="36" borderId="181" xfId="10" applyFont="1" applyFill="1" applyBorder="1" applyAlignment="1" applyProtection="1">
      <alignment horizontal="left" vertical="center" shrinkToFit="1"/>
      <protection locked="0"/>
    </xf>
    <xf numFmtId="1" fontId="8" fillId="36" borderId="182" xfId="10" applyNumberFormat="1" applyFont="1" applyFill="1" applyBorder="1" applyAlignment="1" applyProtection="1">
      <alignment horizontal="right" vertical="center" shrinkToFit="1"/>
      <protection locked="0"/>
    </xf>
    <xf numFmtId="0" fontId="8" fillId="36" borderId="55" xfId="10" applyFont="1" applyFill="1" applyBorder="1" applyAlignment="1">
      <alignment horizontal="left" vertical="center" shrinkToFit="1"/>
    </xf>
    <xf numFmtId="0" fontId="8" fillId="36" borderId="52" xfId="10" applyFont="1" applyFill="1" applyBorder="1" applyAlignment="1" applyProtection="1">
      <alignment horizontal="left" vertical="center" wrapText="1" shrinkToFit="1"/>
      <protection locked="0"/>
    </xf>
    <xf numFmtId="49" fontId="8" fillId="36" borderId="52" xfId="10" applyNumberFormat="1" applyFont="1" applyFill="1" applyBorder="1" applyAlignment="1">
      <alignment horizontal="left" vertical="center" wrapText="1" shrinkToFit="1"/>
    </xf>
    <xf numFmtId="0" fontId="8" fillId="36" borderId="52" xfId="10" applyFont="1" applyFill="1" applyBorder="1" applyAlignment="1" applyProtection="1">
      <alignment horizontal="left" vertical="center" shrinkToFit="1"/>
      <protection locked="0"/>
    </xf>
    <xf numFmtId="1" fontId="8" fillId="36" borderId="53" xfId="10" applyNumberFormat="1" applyFont="1" applyFill="1" applyBorder="1" applyAlignment="1" applyProtection="1">
      <alignment horizontal="right" vertical="center" shrinkToFit="1"/>
      <protection locked="0"/>
    </xf>
    <xf numFmtId="0" fontId="8" fillId="36" borderId="180" xfId="10" applyFont="1" applyFill="1" applyBorder="1" applyAlignment="1">
      <alignment horizontal="left" vertical="center" shrinkToFit="1"/>
    </xf>
    <xf numFmtId="0" fontId="8" fillId="36" borderId="181" xfId="10" applyFont="1" applyFill="1" applyBorder="1" applyAlignment="1" applyProtection="1">
      <alignment horizontal="left" vertical="center" wrapText="1" shrinkToFit="1"/>
      <protection locked="0"/>
    </xf>
    <xf numFmtId="0" fontId="8" fillId="36" borderId="15" xfId="10" applyFont="1" applyFill="1" applyBorder="1" applyAlignment="1" applyProtection="1">
      <alignment horizontal="left" vertical="center" shrinkToFit="1"/>
      <protection locked="0"/>
    </xf>
    <xf numFmtId="2" fontId="8" fillId="36" borderId="25" xfId="10" applyNumberFormat="1" applyFont="1" applyFill="1" applyBorder="1" applyAlignment="1">
      <alignment horizontal="left" vertical="center" wrapText="1"/>
    </xf>
    <xf numFmtId="49" fontId="8" fillId="36" borderId="25" xfId="10" applyNumberFormat="1" applyFont="1" applyFill="1" applyBorder="1" applyAlignment="1">
      <alignment horizontal="left" vertical="center" wrapText="1" shrinkToFit="1"/>
    </xf>
    <xf numFmtId="0" fontId="8" fillId="36" borderId="25" xfId="10" applyFont="1" applyFill="1" applyBorder="1" applyAlignment="1" applyProtection="1">
      <alignment horizontal="left" vertical="center" shrinkToFit="1"/>
      <protection locked="0"/>
    </xf>
    <xf numFmtId="1" fontId="8" fillId="36" borderId="57" xfId="10" applyNumberFormat="1" applyFont="1" applyFill="1" applyBorder="1" applyAlignment="1" applyProtection="1">
      <alignment horizontal="right" vertical="center" shrinkToFit="1"/>
      <protection locked="0"/>
    </xf>
    <xf numFmtId="49" fontId="8" fillId="38" borderId="180" xfId="10" applyNumberFormat="1" applyFont="1" applyFill="1" applyBorder="1" applyAlignment="1" applyProtection="1">
      <alignment horizontal="left" vertical="center" shrinkToFit="1"/>
      <protection locked="0"/>
    </xf>
    <xf numFmtId="0" fontId="8" fillId="38" borderId="181" xfId="10" applyFont="1" applyFill="1" applyBorder="1" applyAlignment="1" applyProtection="1">
      <alignment horizontal="left" vertical="center" wrapText="1" shrinkToFit="1"/>
      <protection locked="0"/>
    </xf>
    <xf numFmtId="49" fontId="8" fillId="38" borderId="181" xfId="10" applyNumberFormat="1" applyFont="1" applyFill="1" applyBorder="1" applyAlignment="1" applyProtection="1">
      <alignment horizontal="left" vertical="center" wrapText="1" shrinkToFit="1"/>
      <protection locked="0"/>
    </xf>
    <xf numFmtId="0" fontId="8" fillId="38" borderId="181" xfId="10" applyFont="1" applyFill="1" applyBorder="1" applyAlignment="1" applyProtection="1">
      <alignment horizontal="left" vertical="center" shrinkToFit="1"/>
      <protection locked="0"/>
    </xf>
    <xf numFmtId="1" fontId="8" fillId="38" borderId="182" xfId="10" applyNumberFormat="1" applyFont="1" applyFill="1" applyBorder="1" applyAlignment="1" applyProtection="1">
      <alignment horizontal="right" vertical="center" shrinkToFit="1"/>
      <protection locked="0"/>
    </xf>
    <xf numFmtId="0" fontId="8" fillId="29" borderId="180" xfId="10" applyFont="1" applyFill="1" applyBorder="1" applyAlignment="1" applyProtection="1">
      <alignment horizontal="left" vertical="center" shrinkToFit="1"/>
      <protection locked="0"/>
    </xf>
    <xf numFmtId="2" fontId="8" fillId="29" borderId="181" xfId="10" applyNumberFormat="1" applyFont="1" applyFill="1" applyBorder="1" applyAlignment="1">
      <alignment horizontal="left" vertical="center" wrapText="1"/>
    </xf>
    <xf numFmtId="49" fontId="8" fillId="29" borderId="181" xfId="10" applyNumberFormat="1" applyFont="1" applyFill="1" applyBorder="1" applyAlignment="1">
      <alignment horizontal="left" vertical="center" wrapText="1" shrinkToFit="1"/>
    </xf>
    <xf numFmtId="0" fontId="8" fillId="29" borderId="181" xfId="10" applyFont="1" applyFill="1" applyBorder="1" applyAlignment="1" applyProtection="1">
      <alignment horizontal="left" vertical="center" shrinkToFit="1"/>
      <protection locked="0"/>
    </xf>
    <xf numFmtId="1" fontId="8" fillId="29" borderId="182" xfId="10" applyNumberFormat="1" applyFont="1" applyFill="1" applyBorder="1" applyAlignment="1" applyProtection="1">
      <alignment horizontal="right" vertical="center" shrinkToFit="1"/>
      <protection locked="0"/>
    </xf>
    <xf numFmtId="0" fontId="8" fillId="38" borderId="180" xfId="10" applyFont="1" applyFill="1" applyBorder="1" applyAlignment="1">
      <alignment horizontal="left" vertical="center" shrinkToFit="1"/>
    </xf>
    <xf numFmtId="0" fontId="8" fillId="38" borderId="55" xfId="10" applyFont="1" applyFill="1" applyBorder="1" applyAlignment="1">
      <alignment horizontal="left" vertical="center" shrinkToFit="1"/>
    </xf>
    <xf numFmtId="0" fontId="8" fillId="38" borderId="52" xfId="10" applyFont="1" applyFill="1" applyBorder="1" applyAlignment="1" applyProtection="1">
      <alignment horizontal="left" vertical="center" wrapText="1" shrinkToFit="1"/>
      <protection locked="0"/>
    </xf>
    <xf numFmtId="49" fontId="8" fillId="38" borderId="52" xfId="10" applyNumberFormat="1" applyFont="1" applyFill="1" applyBorder="1" applyAlignment="1" applyProtection="1">
      <alignment horizontal="left" vertical="center" wrapText="1" shrinkToFit="1"/>
      <protection locked="0"/>
    </xf>
    <xf numFmtId="0" fontId="8" fillId="38" borderId="52" xfId="10" applyFont="1" applyFill="1" applyBorder="1" applyAlignment="1" applyProtection="1">
      <alignment horizontal="left" vertical="center" shrinkToFit="1"/>
      <protection locked="0"/>
    </xf>
    <xf numFmtId="1" fontId="8" fillId="38" borderId="53" xfId="10" applyNumberFormat="1" applyFont="1" applyFill="1" applyBorder="1" applyAlignment="1" applyProtection="1">
      <alignment horizontal="right" vertical="center" shrinkToFit="1"/>
      <protection locked="0"/>
    </xf>
    <xf numFmtId="2" fontId="8" fillId="3" borderId="67" xfId="10" applyNumberFormat="1" applyFont="1" applyFill="1" applyBorder="1" applyAlignment="1" applyProtection="1">
      <alignment horizontal="right" vertical="center" wrapText="1"/>
      <protection locked="0"/>
    </xf>
    <xf numFmtId="0" fontId="8" fillId="40" borderId="15" xfId="10" applyFont="1" applyFill="1" applyBorder="1" applyAlignment="1" applyProtection="1">
      <alignment horizontal="left" vertical="center" wrapText="1"/>
      <protection locked="0"/>
    </xf>
    <xf numFmtId="0" fontId="8" fillId="40" borderId="25" xfId="10" applyFont="1" applyFill="1" applyBorder="1" applyAlignment="1" applyProtection="1">
      <alignment horizontal="left" vertical="center" wrapText="1"/>
      <protection locked="0"/>
    </xf>
    <xf numFmtId="49" fontId="8" fillId="40" borderId="25" xfId="10" applyNumberFormat="1" applyFont="1" applyFill="1" applyBorder="1" applyAlignment="1" applyProtection="1">
      <alignment horizontal="left" vertical="center" wrapText="1" shrinkToFit="1"/>
      <protection locked="0"/>
    </xf>
    <xf numFmtId="1" fontId="8" fillId="40" borderId="57" xfId="10" applyNumberFormat="1" applyFont="1" applyFill="1" applyBorder="1" applyAlignment="1" applyProtection="1">
      <alignment horizontal="right" vertical="center" wrapText="1"/>
      <protection locked="0"/>
    </xf>
    <xf numFmtId="0" fontId="8" fillId="38" borderId="15" xfId="10" applyFont="1" applyFill="1" applyBorder="1" applyAlignment="1" applyProtection="1">
      <alignment horizontal="left" vertical="center" wrapText="1"/>
      <protection locked="0"/>
    </xf>
    <xf numFmtId="0" fontId="8" fillId="38" borderId="25" xfId="10" applyFont="1" applyFill="1" applyBorder="1" applyAlignment="1" applyProtection="1">
      <alignment horizontal="left" vertical="center" wrapText="1"/>
      <protection locked="0"/>
    </xf>
    <xf numFmtId="49" fontId="8" fillId="38" borderId="25" xfId="10" applyNumberFormat="1" applyFont="1" applyFill="1" applyBorder="1" applyAlignment="1" applyProtection="1">
      <alignment horizontal="left" vertical="center" wrapText="1" shrinkToFit="1"/>
      <protection locked="0"/>
    </xf>
    <xf numFmtId="1" fontId="8" fillId="38" borderId="57" xfId="10" applyNumberFormat="1" applyFont="1" applyFill="1" applyBorder="1" applyAlignment="1" applyProtection="1">
      <alignment horizontal="right" vertical="center" wrapText="1"/>
      <protection locked="0"/>
    </xf>
    <xf numFmtId="0" fontId="8" fillId="43" borderId="15" xfId="10" applyFont="1" applyFill="1" applyBorder="1" applyAlignment="1" applyProtection="1">
      <alignment horizontal="left" vertical="center" wrapText="1"/>
      <protection locked="0"/>
    </xf>
    <xf numFmtId="0" fontId="8" fillId="43" borderId="25" xfId="10" applyFont="1" applyFill="1" applyBorder="1" applyAlignment="1" applyProtection="1">
      <alignment horizontal="left" vertical="center" wrapText="1"/>
      <protection locked="0"/>
    </xf>
    <xf numFmtId="49" fontId="8" fillId="43" borderId="25" xfId="10" applyNumberFormat="1" applyFont="1" applyFill="1" applyBorder="1" applyAlignment="1" applyProtection="1">
      <alignment horizontal="left" vertical="center" wrapText="1" shrinkToFit="1"/>
      <protection locked="0"/>
    </xf>
    <xf numFmtId="1" fontId="8" fillId="43" borderId="57" xfId="10" applyNumberFormat="1" applyFont="1" applyFill="1" applyBorder="1" applyAlignment="1" applyProtection="1">
      <alignment horizontal="right" vertical="center" wrapText="1"/>
      <protection locked="0"/>
    </xf>
    <xf numFmtId="0" fontId="8" fillId="27" borderId="15" xfId="10" applyFont="1" applyFill="1" applyBorder="1" applyAlignment="1" applyProtection="1">
      <alignment horizontal="left" vertical="center" wrapText="1"/>
      <protection locked="0"/>
    </xf>
    <xf numFmtId="0" fontId="8" fillId="27" borderId="25" xfId="10" applyFont="1" applyFill="1" applyBorder="1" applyAlignment="1" applyProtection="1">
      <alignment horizontal="left" vertical="center" wrapText="1"/>
      <protection locked="0"/>
    </xf>
    <xf numFmtId="49" fontId="8" fillId="27" borderId="25" xfId="10" applyNumberFormat="1" applyFont="1" applyFill="1" applyBorder="1" applyAlignment="1" applyProtection="1">
      <alignment horizontal="left" vertical="center" wrapText="1" shrinkToFit="1"/>
      <protection locked="0"/>
    </xf>
    <xf numFmtId="1" fontId="8" fillId="27" borderId="57" xfId="10" applyNumberFormat="1" applyFont="1" applyFill="1" applyBorder="1" applyAlignment="1" applyProtection="1">
      <alignment horizontal="right" vertical="center" wrapText="1"/>
      <protection locked="0"/>
    </xf>
    <xf numFmtId="1" fontId="10" fillId="0" borderId="0" xfId="10" applyNumberFormat="1" applyFont="1" applyAlignment="1" applyProtection="1">
      <alignment horizontal="left" vertical="center" wrapText="1"/>
      <protection locked="0"/>
    </xf>
    <xf numFmtId="2" fontId="8" fillId="3" borderId="8" xfId="10" applyNumberFormat="1" applyFont="1" applyFill="1" applyBorder="1" applyAlignment="1" applyProtection="1">
      <alignment horizontal="right" vertical="center" wrapText="1"/>
      <protection locked="0"/>
    </xf>
    <xf numFmtId="2" fontId="8" fillId="3" borderId="26" xfId="10" applyNumberFormat="1" applyFont="1" applyFill="1" applyBorder="1" applyAlignment="1" applyProtection="1">
      <alignment horizontal="right" vertical="center" wrapText="1"/>
      <protection locked="0"/>
    </xf>
    <xf numFmtId="2" fontId="8" fillId="3" borderId="56" xfId="10" applyNumberFormat="1" applyFont="1" applyFill="1" applyBorder="1" applyAlignment="1" applyProtection="1">
      <alignment horizontal="right" vertical="center" wrapText="1"/>
      <protection locked="0"/>
    </xf>
    <xf numFmtId="0" fontId="36" fillId="0" borderId="6" xfId="0" applyFont="1" applyBorder="1"/>
    <xf numFmtId="0" fontId="23" fillId="0" borderId="42" xfId="0" applyFont="1" applyBorder="1" applyAlignment="1">
      <alignment horizontal="left" vertical="center" wrapText="1" readingOrder="1"/>
    </xf>
    <xf numFmtId="0" fontId="37" fillId="0" borderId="42" xfId="0" applyFont="1" applyBorder="1" applyAlignment="1">
      <alignment horizontal="left" wrapText="1" readingOrder="1"/>
    </xf>
    <xf numFmtId="0" fontId="23" fillId="0" borderId="41" xfId="0" applyFont="1" applyBorder="1" applyAlignment="1">
      <alignment horizontal="left" vertical="center" wrapText="1" readingOrder="1"/>
    </xf>
    <xf numFmtId="0" fontId="37" fillId="0" borderId="41" xfId="0" applyFont="1" applyBorder="1" applyAlignment="1">
      <alignment horizontal="left" wrapText="1" readingOrder="1"/>
    </xf>
    <xf numFmtId="2" fontId="8" fillId="9" borderId="14" xfId="1" applyNumberFormat="1" applyFont="1" applyFill="1" applyBorder="1" applyAlignment="1">
      <alignment horizontal="right" vertical="center"/>
    </xf>
    <xf numFmtId="2" fontId="17" fillId="9" borderId="15" xfId="11" applyNumberFormat="1" applyFill="1" applyBorder="1" applyAlignment="1">
      <alignment horizontal="right"/>
    </xf>
    <xf numFmtId="49" fontId="8" fillId="14" borderId="21" xfId="10" applyNumberFormat="1" applyFont="1" applyFill="1" applyBorder="1" applyAlignment="1" applyProtection="1">
      <alignment horizontal="left" vertical="center" shrinkToFit="1"/>
      <protection locked="0"/>
    </xf>
    <xf numFmtId="0" fontId="8" fillId="14" borderId="18" xfId="10" applyFont="1" applyFill="1" applyBorder="1" applyAlignment="1" applyProtection="1">
      <alignment horizontal="left" vertical="center" wrapText="1" shrinkToFit="1"/>
      <protection locked="0"/>
    </xf>
    <xf numFmtId="49" fontId="8" fillId="14" borderId="18" xfId="10" applyNumberFormat="1" applyFont="1" applyFill="1" applyBorder="1" applyAlignment="1" applyProtection="1">
      <alignment horizontal="left" vertical="center" wrapText="1" shrinkToFit="1"/>
      <protection locked="0"/>
    </xf>
    <xf numFmtId="0" fontId="8" fillId="14" borderId="18" xfId="10" applyFont="1" applyFill="1" applyBorder="1" applyAlignment="1" applyProtection="1">
      <alignment horizontal="left" vertical="center" shrinkToFit="1"/>
      <protection locked="0"/>
    </xf>
    <xf numFmtId="1" fontId="8" fillId="14" borderId="29" xfId="10" applyNumberFormat="1" applyFont="1" applyFill="1" applyBorder="1" applyAlignment="1" applyProtection="1">
      <alignment horizontal="right" vertical="center" shrinkToFit="1"/>
      <protection locked="0"/>
    </xf>
    <xf numFmtId="167" fontId="23" fillId="0" borderId="23" xfId="11" applyNumberFormat="1" applyFont="1" applyBorder="1" applyAlignment="1">
      <alignment horizontal="right" vertical="center" wrapText="1"/>
    </xf>
    <xf numFmtId="167" fontId="23" fillId="0" borderId="33" xfId="11" applyNumberFormat="1" applyFont="1" applyBorder="1" applyAlignment="1">
      <alignment horizontal="right" vertical="center" wrapText="1"/>
    </xf>
    <xf numFmtId="1" fontId="10" fillId="15" borderId="183" xfId="10" applyNumberFormat="1" applyFont="1" applyFill="1" applyBorder="1" applyAlignment="1" applyProtection="1">
      <alignment horizontal="left" vertical="center" wrapText="1"/>
      <protection locked="0"/>
    </xf>
    <xf numFmtId="1" fontId="10" fillId="15" borderId="52" xfId="10" applyNumberFormat="1" applyFont="1" applyFill="1" applyBorder="1" applyAlignment="1" applyProtection="1">
      <alignment horizontal="left" vertical="center" wrapText="1"/>
      <protection locked="0"/>
    </xf>
    <xf numFmtId="1" fontId="10" fillId="15" borderId="53" xfId="10" applyNumberFormat="1" applyFont="1" applyFill="1" applyBorder="1" applyAlignment="1" applyProtection="1">
      <alignment horizontal="left" vertical="center" wrapText="1"/>
      <protection locked="0"/>
    </xf>
    <xf numFmtId="0" fontId="8" fillId="14" borderId="18" xfId="10" applyFont="1" applyFill="1" applyBorder="1" applyAlignment="1" applyProtection="1">
      <alignment horizontal="right" vertical="center" shrinkToFit="1"/>
      <protection locked="0"/>
    </xf>
    <xf numFmtId="0" fontId="8" fillId="17" borderId="7" xfId="0" applyFont="1" applyFill="1" applyBorder="1" applyAlignment="1">
      <alignment horizontal="left" vertical="center"/>
    </xf>
    <xf numFmtId="0" fontId="8" fillId="8" borderId="33" xfId="0" applyFont="1" applyFill="1" applyBorder="1" applyAlignment="1">
      <alignment horizontal="left" vertical="center"/>
    </xf>
    <xf numFmtId="2" fontId="8" fillId="0" borderId="6" xfId="0" applyNumberFormat="1" applyFont="1" applyBorder="1" applyAlignment="1">
      <alignment vertical="center" wrapText="1"/>
    </xf>
    <xf numFmtId="2" fontId="8" fillId="10" borderId="6" xfId="0" applyNumberFormat="1" applyFont="1" applyFill="1" applyBorder="1" applyAlignment="1">
      <alignment vertical="center" wrapText="1"/>
    </xf>
    <xf numFmtId="2" fontId="8" fillId="0" borderId="0" xfId="1" applyNumberFormat="1" applyFont="1" applyAlignment="1" applyProtection="1">
      <alignment horizontal="right" vertical="center"/>
      <protection locked="0"/>
    </xf>
    <xf numFmtId="0" fontId="17" fillId="0" borderId="0" xfId="0" applyFont="1" applyAlignment="1">
      <alignment horizontal="right" vertical="center"/>
    </xf>
    <xf numFmtId="2" fontId="8" fillId="0" borderId="0" xfId="6" applyNumberFormat="1" applyFont="1" applyAlignment="1">
      <alignment horizontal="right" vertical="center"/>
    </xf>
    <xf numFmtId="2" fontId="8" fillId="0" borderId="0" xfId="7" applyNumberFormat="1" applyFont="1" applyAlignment="1" applyProtection="1">
      <alignment horizontal="right" vertical="center"/>
      <protection locked="0"/>
    </xf>
    <xf numFmtId="2" fontId="8" fillId="12" borderId="184" xfId="0" applyNumberFormat="1" applyFont="1" applyFill="1" applyBorder="1" applyAlignment="1">
      <alignment vertical="center" wrapText="1"/>
    </xf>
    <xf numFmtId="2" fontId="8" fillId="6" borderId="185" xfId="0" applyNumberFormat="1" applyFont="1" applyFill="1" applyBorder="1" applyAlignment="1">
      <alignment vertical="center" wrapText="1"/>
    </xf>
    <xf numFmtId="2" fontId="8" fillId="6" borderId="143" xfId="0" applyNumberFormat="1" applyFont="1" applyFill="1" applyBorder="1" applyAlignment="1">
      <alignment vertical="center" wrapText="1"/>
    </xf>
    <xf numFmtId="2" fontId="8" fillId="6" borderId="186" xfId="0" applyNumberFormat="1" applyFont="1" applyFill="1" applyBorder="1" applyAlignment="1">
      <alignment vertical="center" wrapText="1"/>
    </xf>
    <xf numFmtId="2" fontId="8" fillId="12" borderId="61" xfId="0" applyNumberFormat="1" applyFont="1" applyFill="1" applyBorder="1" applyAlignment="1">
      <alignment vertical="center" wrapText="1"/>
    </xf>
    <xf numFmtId="2" fontId="8" fillId="10" borderId="187" xfId="0" applyNumberFormat="1" applyFont="1" applyFill="1" applyBorder="1" applyAlignment="1">
      <alignment vertical="center" wrapText="1"/>
    </xf>
    <xf numFmtId="2" fontId="8" fillId="12" borderId="188" xfId="0" applyNumberFormat="1" applyFont="1" applyFill="1" applyBorder="1" applyAlignment="1">
      <alignment vertical="center" wrapText="1"/>
    </xf>
    <xf numFmtId="2" fontId="8" fillId="0" borderId="62" xfId="0" applyNumberFormat="1" applyFont="1" applyBorder="1" applyAlignment="1">
      <alignment vertical="center" wrapText="1"/>
    </xf>
    <xf numFmtId="2" fontId="8" fillId="10" borderId="62" xfId="0" applyNumberFormat="1" applyFont="1" applyFill="1" applyBorder="1" applyAlignment="1">
      <alignment vertical="center" wrapText="1"/>
    </xf>
    <xf numFmtId="2" fontId="8" fillId="12" borderId="189" xfId="0" applyNumberFormat="1" applyFont="1" applyFill="1" applyBorder="1" applyAlignment="1">
      <alignment vertical="center" wrapText="1"/>
    </xf>
    <xf numFmtId="2" fontId="8" fillId="10" borderId="124" xfId="0" applyNumberFormat="1" applyFont="1" applyFill="1" applyBorder="1" applyAlignment="1">
      <alignment vertical="center" wrapText="1"/>
    </xf>
    <xf numFmtId="2" fontId="8" fillId="10" borderId="123" xfId="0" applyNumberFormat="1" applyFont="1" applyFill="1" applyBorder="1" applyAlignment="1">
      <alignment vertical="center" wrapText="1"/>
    </xf>
    <xf numFmtId="2" fontId="8" fillId="10" borderId="190" xfId="0" applyNumberFormat="1" applyFont="1" applyFill="1" applyBorder="1" applyAlignment="1">
      <alignment vertical="center" wrapText="1"/>
    </xf>
    <xf numFmtId="2" fontId="8" fillId="12" borderId="22" xfId="0" applyNumberFormat="1" applyFont="1" applyFill="1" applyBorder="1" applyAlignment="1">
      <alignment vertical="center" wrapText="1"/>
    </xf>
    <xf numFmtId="2" fontId="8" fillId="12" borderId="191" xfId="0" applyNumberFormat="1" applyFont="1" applyFill="1" applyBorder="1" applyAlignment="1">
      <alignment vertical="center" wrapText="1"/>
    </xf>
    <xf numFmtId="0" fontId="10" fillId="13" borderId="192" xfId="0" applyFont="1" applyFill="1" applyBorder="1" applyAlignment="1">
      <alignment horizontal="left" vertical="center" wrapText="1"/>
    </xf>
    <xf numFmtId="0" fontId="10" fillId="22" borderId="52" xfId="0" applyFont="1" applyFill="1" applyBorder="1" applyAlignment="1">
      <alignment horizontal="left" vertical="center" wrapText="1"/>
    </xf>
    <xf numFmtId="0" fontId="8" fillId="0" borderId="6" xfId="1" applyFont="1" applyBorder="1" applyAlignment="1">
      <alignment horizontal="left" vertical="center" wrapText="1"/>
    </xf>
    <xf numFmtId="0" fontId="10" fillId="15" borderId="0" xfId="1" applyFont="1" applyFill="1" applyAlignment="1">
      <alignment horizontal="right" vertical="center"/>
    </xf>
    <xf numFmtId="1" fontId="10" fillId="29" borderId="1" xfId="1" applyNumberFormat="1" applyFont="1" applyFill="1" applyBorder="1" applyAlignment="1">
      <alignment horizontal="left" vertical="center" wrapText="1"/>
    </xf>
    <xf numFmtId="1" fontId="10" fillId="29" borderId="165" xfId="1" applyNumberFormat="1" applyFont="1" applyFill="1" applyBorder="1" applyAlignment="1">
      <alignment horizontal="left" vertical="center" wrapText="1"/>
    </xf>
    <xf numFmtId="2" fontId="8" fillId="38" borderId="1" xfId="1" applyNumberFormat="1" applyFont="1" applyFill="1" applyBorder="1" applyAlignment="1">
      <alignment horizontal="left" vertical="center" shrinkToFit="1"/>
    </xf>
    <xf numFmtId="0" fontId="8" fillId="29" borderId="1" xfId="1" applyFont="1" applyFill="1" applyBorder="1" applyAlignment="1">
      <alignment horizontal="left" vertical="center" shrinkToFit="1"/>
    </xf>
    <xf numFmtId="0" fontId="8" fillId="29" borderId="165" xfId="1" applyFont="1" applyFill="1" applyBorder="1" applyAlignment="1">
      <alignment horizontal="left" vertical="center" shrinkToFit="1"/>
    </xf>
    <xf numFmtId="0" fontId="8" fillId="29" borderId="166" xfId="1" applyFont="1" applyFill="1" applyBorder="1" applyAlignment="1">
      <alignment horizontal="left" vertical="center" shrinkToFit="1"/>
    </xf>
    <xf numFmtId="0" fontId="8" fillId="29" borderId="49" xfId="1" applyFont="1" applyFill="1" applyBorder="1" applyAlignment="1">
      <alignment horizontal="left" vertical="center" shrinkToFit="1"/>
    </xf>
    <xf numFmtId="2" fontId="8" fillId="29" borderId="1" xfId="1" applyNumberFormat="1" applyFont="1" applyFill="1" applyBorder="1" applyAlignment="1">
      <alignment horizontal="left" vertical="center" shrinkToFit="1"/>
    </xf>
    <xf numFmtId="0" fontId="8" fillId="38" borderId="1" xfId="1" applyFont="1" applyFill="1" applyBorder="1" applyAlignment="1">
      <alignment horizontal="left" vertical="center" wrapText="1"/>
    </xf>
    <xf numFmtId="0" fontId="8" fillId="38" borderId="165" xfId="1" applyFont="1" applyFill="1" applyBorder="1" applyAlignment="1">
      <alignment horizontal="left" vertical="center" wrapText="1"/>
    </xf>
    <xf numFmtId="2" fontId="8" fillId="38" borderId="166" xfId="1" applyNumberFormat="1" applyFont="1" applyFill="1" applyBorder="1" applyAlignment="1">
      <alignment horizontal="left" vertical="center" shrinkToFit="1"/>
    </xf>
    <xf numFmtId="0" fontId="8" fillId="38" borderId="193" xfId="1" applyFont="1" applyFill="1" applyBorder="1" applyAlignment="1">
      <alignment horizontal="left" vertical="center" wrapText="1"/>
    </xf>
    <xf numFmtId="0" fontId="8" fillId="38" borderId="68" xfId="1" applyFont="1" applyFill="1" applyBorder="1" applyAlignment="1">
      <alignment horizontal="left" vertical="center" wrapText="1"/>
    </xf>
    <xf numFmtId="49" fontId="8" fillId="38" borderId="68" xfId="1" applyNumberFormat="1" applyFont="1" applyFill="1" applyBorder="1" applyAlignment="1">
      <alignment horizontal="left" vertical="center" wrapText="1" shrinkToFit="1"/>
    </xf>
    <xf numFmtId="1" fontId="8" fillId="38" borderId="68" xfId="1" applyNumberFormat="1" applyFont="1" applyFill="1" applyBorder="1" applyAlignment="1">
      <alignment horizontal="right" vertical="center" wrapText="1"/>
    </xf>
    <xf numFmtId="2" fontId="8" fillId="3" borderId="193" xfId="1" applyNumberFormat="1" applyFont="1" applyFill="1" applyBorder="1" applyAlignment="1">
      <alignment horizontal="right" vertical="center" wrapText="1"/>
    </xf>
    <xf numFmtId="0" fontId="8" fillId="38" borderId="166" xfId="1" applyFont="1" applyFill="1" applyBorder="1" applyAlignment="1">
      <alignment horizontal="left" vertical="center" wrapText="1"/>
    </xf>
    <xf numFmtId="0" fontId="8" fillId="38" borderId="49" xfId="1" applyFont="1" applyFill="1" applyBorder="1" applyAlignment="1">
      <alignment horizontal="left" vertical="center" wrapText="1"/>
    </xf>
    <xf numFmtId="0" fontId="8" fillId="29" borderId="1" xfId="1" applyFont="1" applyFill="1" applyBorder="1" applyAlignment="1">
      <alignment horizontal="left" vertical="center" wrapText="1"/>
    </xf>
    <xf numFmtId="0" fontId="8" fillId="29" borderId="165" xfId="1" applyFont="1" applyFill="1" applyBorder="1" applyAlignment="1">
      <alignment horizontal="left" vertical="center" wrapText="1"/>
    </xf>
    <xf numFmtId="0" fontId="8" fillId="29" borderId="193" xfId="1" applyFont="1" applyFill="1" applyBorder="1" applyAlignment="1">
      <alignment horizontal="left" vertical="center" wrapText="1"/>
    </xf>
    <xf numFmtId="0" fontId="8" fillId="29" borderId="68" xfId="1" applyFont="1" applyFill="1" applyBorder="1" applyAlignment="1">
      <alignment horizontal="left" vertical="center" wrapText="1"/>
    </xf>
    <xf numFmtId="49" fontId="8" fillId="29" borderId="68" xfId="1" applyNumberFormat="1" applyFont="1" applyFill="1" applyBorder="1" applyAlignment="1">
      <alignment horizontal="left" vertical="center" wrapText="1" shrinkToFit="1"/>
    </xf>
    <xf numFmtId="1" fontId="8" fillId="29" borderId="68" xfId="1" applyNumberFormat="1" applyFont="1" applyFill="1" applyBorder="1" applyAlignment="1">
      <alignment horizontal="right" vertical="center" wrapText="1"/>
    </xf>
    <xf numFmtId="0" fontId="10" fillId="36" borderId="177" xfId="1" applyFont="1" applyFill="1" applyBorder="1" applyAlignment="1" applyProtection="1">
      <alignment horizontal="left" vertical="center" wrapText="1"/>
      <protection locked="0"/>
    </xf>
    <xf numFmtId="0" fontId="34" fillId="15" borderId="0" xfId="0" applyFont="1" applyFill="1" applyAlignment="1">
      <alignment vertical="center"/>
    </xf>
    <xf numFmtId="0" fontId="29" fillId="15" borderId="4" xfId="10" applyFont="1" applyFill="1" applyBorder="1" applyAlignment="1">
      <alignment vertical="center"/>
    </xf>
    <xf numFmtId="0" fontId="20" fillId="15" borderId="4" xfId="10" applyFont="1" applyFill="1" applyBorder="1" applyAlignment="1">
      <alignment vertical="center"/>
    </xf>
    <xf numFmtId="0" fontId="17" fillId="0" borderId="95" xfId="0" applyFont="1" applyBorder="1" applyAlignment="1">
      <alignment vertical="center"/>
    </xf>
    <xf numFmtId="0" fontId="33" fillId="7" borderId="39" xfId="2" applyFont="1" applyFill="1" applyBorder="1" applyAlignment="1" applyProtection="1">
      <alignment horizontal="left" vertical="center" wrapText="1"/>
    </xf>
    <xf numFmtId="1" fontId="10" fillId="0" borderId="0" xfId="1" applyNumberFormat="1" applyFont="1" applyAlignment="1" applyProtection="1">
      <alignment horizontal="left" vertical="center" wrapText="1"/>
      <protection locked="0"/>
    </xf>
    <xf numFmtId="1" fontId="10" fillId="29" borderId="20" xfId="1" applyNumberFormat="1" applyFont="1" applyFill="1" applyBorder="1" applyAlignment="1">
      <alignment horizontal="left" vertical="center" wrapText="1"/>
    </xf>
    <xf numFmtId="1" fontId="10" fillId="29" borderId="39" xfId="1" applyNumberFormat="1" applyFont="1" applyFill="1" applyBorder="1" applyAlignment="1">
      <alignment horizontal="left" vertical="center" wrapText="1"/>
    </xf>
    <xf numFmtId="0" fontId="23" fillId="9" borderId="6" xfId="0" applyFont="1" applyFill="1" applyBorder="1" applyAlignment="1">
      <alignment horizontal="left" vertical="center" wrapText="1"/>
    </xf>
    <xf numFmtId="0" fontId="8" fillId="0" borderId="6" xfId="0" applyFont="1" applyBorder="1" applyAlignment="1">
      <alignment horizontal="left" vertical="center" wrapText="1"/>
    </xf>
    <xf numFmtId="0" fontId="10" fillId="0" borderId="6" xfId="0" applyFont="1" applyBorder="1" applyAlignment="1">
      <alignment horizontal="left" vertical="center" wrapText="1"/>
    </xf>
    <xf numFmtId="0" fontId="8" fillId="14" borderId="6" xfId="0" applyFont="1" applyFill="1" applyBorder="1" applyAlignment="1">
      <alignment horizontal="left" vertical="center" wrapText="1"/>
    </xf>
    <xf numFmtId="2" fontId="8" fillId="15" borderId="23" xfId="0" applyNumberFormat="1" applyFont="1" applyFill="1" applyBorder="1" applyAlignment="1">
      <alignment horizontal="right" vertical="center" wrapText="1"/>
    </xf>
    <xf numFmtId="0" fontId="23" fillId="9" borderId="8" xfId="0" applyFont="1" applyFill="1" applyBorder="1" applyAlignment="1">
      <alignment horizontal="left" vertical="center" wrapText="1"/>
    </xf>
    <xf numFmtId="0" fontId="8" fillId="14" borderId="24" xfId="0" applyFont="1" applyFill="1" applyBorder="1" applyAlignment="1">
      <alignment horizontal="right" vertical="center" wrapText="1"/>
    </xf>
    <xf numFmtId="0" fontId="8" fillId="14" borderId="27" xfId="0" applyFont="1" applyFill="1" applyBorder="1" applyAlignment="1">
      <alignment horizontal="left" vertical="center" wrapText="1"/>
    </xf>
    <xf numFmtId="0" fontId="8" fillId="14" borderId="28" xfId="0" applyFont="1" applyFill="1" applyBorder="1" applyAlignment="1">
      <alignment horizontal="right" vertical="center" wrapText="1"/>
    </xf>
    <xf numFmtId="0" fontId="22" fillId="0" borderId="68" xfId="11" applyFont="1" applyBorder="1" applyAlignment="1">
      <alignment horizontal="left" vertical="center" wrapText="1"/>
    </xf>
    <xf numFmtId="0" fontId="17" fillId="0" borderId="0" xfId="12"/>
    <xf numFmtId="0" fontId="17" fillId="15" borderId="27" xfId="12" applyFill="1" applyBorder="1"/>
    <xf numFmtId="0" fontId="17" fillId="15" borderId="6" xfId="12" applyFill="1" applyBorder="1"/>
    <xf numFmtId="0" fontId="23" fillId="0" borderId="6" xfId="12" applyFont="1" applyBorder="1" applyAlignment="1">
      <alignment horizontal="left" vertical="center" wrapText="1"/>
    </xf>
    <xf numFmtId="0" fontId="21" fillId="15" borderId="6" xfId="12" applyFont="1" applyFill="1" applyBorder="1" applyAlignment="1">
      <alignment horizontal="left" vertical="center" wrapText="1"/>
    </xf>
    <xf numFmtId="0" fontId="23" fillId="15" borderId="23" xfId="12" applyFont="1" applyFill="1" applyBorder="1" applyAlignment="1">
      <alignment horizontal="left" vertical="center" wrapText="1"/>
    </xf>
    <xf numFmtId="0" fontId="23" fillId="15" borderId="6" xfId="12" applyFont="1" applyFill="1" applyBorder="1" applyAlignment="1">
      <alignment horizontal="left" vertical="center" wrapText="1"/>
    </xf>
    <xf numFmtId="0" fontId="8" fillId="0" borderId="6" xfId="12" applyFont="1" applyBorder="1" applyAlignment="1">
      <alignment horizontal="left" vertical="center" wrapText="1"/>
    </xf>
    <xf numFmtId="0" fontId="17" fillId="15" borderId="18" xfId="12" applyFill="1" applyBorder="1"/>
    <xf numFmtId="0" fontId="21" fillId="15" borderId="18" xfId="12" applyFont="1" applyFill="1" applyBorder="1" applyAlignment="1">
      <alignment horizontal="left" vertical="center" wrapText="1"/>
    </xf>
    <xf numFmtId="0" fontId="23" fillId="15" borderId="18" xfId="12" applyFont="1" applyFill="1" applyBorder="1" applyAlignment="1">
      <alignment horizontal="left" vertical="center" wrapText="1"/>
    </xf>
    <xf numFmtId="0" fontId="23" fillId="15" borderId="22" xfId="12" applyFont="1" applyFill="1" applyBorder="1" applyAlignment="1">
      <alignment horizontal="left" vertical="center" wrapText="1"/>
    </xf>
    <xf numFmtId="0" fontId="23" fillId="0" borderId="18" xfId="12" applyFont="1" applyBorder="1" applyAlignment="1">
      <alignment horizontal="left" vertical="center" wrapText="1"/>
    </xf>
    <xf numFmtId="0" fontId="8" fillId="0" borderId="18" xfId="12" applyFont="1" applyBorder="1" applyAlignment="1">
      <alignment horizontal="left" vertical="center" wrapText="1"/>
    </xf>
    <xf numFmtId="1" fontId="10" fillId="29" borderId="53" xfId="1" applyNumberFormat="1" applyFont="1" applyFill="1" applyBorder="1" applyAlignment="1" applyProtection="1">
      <alignment horizontal="left" vertical="center" wrapText="1"/>
      <protection locked="0"/>
    </xf>
    <xf numFmtId="1" fontId="10" fillId="29" borderId="52" xfId="1" applyNumberFormat="1" applyFont="1" applyFill="1" applyBorder="1" applyAlignment="1" applyProtection="1">
      <alignment horizontal="left" vertical="center" wrapText="1"/>
      <protection locked="0"/>
    </xf>
    <xf numFmtId="1" fontId="10" fillId="29" borderId="55" xfId="1" applyNumberFormat="1" applyFont="1" applyFill="1" applyBorder="1" applyAlignment="1" applyProtection="1">
      <alignment horizontal="left" vertical="center" wrapText="1"/>
      <protection locked="0"/>
    </xf>
    <xf numFmtId="0" fontId="10" fillId="11" borderId="52" xfId="12" applyFont="1" applyFill="1" applyBorder="1" applyAlignment="1">
      <alignment horizontal="left" vertical="center" wrapText="1"/>
    </xf>
    <xf numFmtId="0" fontId="21" fillId="11" borderId="52" xfId="12" applyFont="1" applyFill="1" applyBorder="1" applyAlignment="1">
      <alignment horizontal="left" vertical="center" wrapText="1"/>
    </xf>
    <xf numFmtId="0" fontId="21" fillId="11" borderId="183" xfId="12" applyFont="1" applyFill="1" applyBorder="1" applyAlignment="1">
      <alignment horizontal="left" vertical="center" wrapText="1"/>
    </xf>
    <xf numFmtId="0" fontId="10" fillId="0" borderId="1" xfId="12" applyFont="1" applyBorder="1" applyAlignment="1">
      <alignment horizontal="center" vertical="center"/>
    </xf>
    <xf numFmtId="0" fontId="17" fillId="7" borderId="0" xfId="12" applyFill="1"/>
    <xf numFmtId="0" fontId="23" fillId="7" borderId="6" xfId="12" applyFont="1" applyFill="1" applyBorder="1" applyAlignment="1">
      <alignment horizontal="left" vertical="center" wrapText="1"/>
    </xf>
    <xf numFmtId="0" fontId="8" fillId="7" borderId="6" xfId="12" applyFont="1" applyFill="1" applyBorder="1" applyAlignment="1">
      <alignment horizontal="left" vertical="center" wrapText="1"/>
    </xf>
    <xf numFmtId="0" fontId="23" fillId="7" borderId="23" xfId="12" applyFont="1" applyFill="1" applyBorder="1" applyAlignment="1">
      <alignment horizontal="left" vertical="center" wrapText="1"/>
    </xf>
    <xf numFmtId="0" fontId="17" fillId="15" borderId="25" xfId="12" applyFill="1" applyBorder="1"/>
    <xf numFmtId="0" fontId="21" fillId="15" borderId="25" xfId="12" applyFont="1" applyFill="1" applyBorder="1" applyAlignment="1">
      <alignment horizontal="left" vertical="center" wrapText="1"/>
    </xf>
    <xf numFmtId="0" fontId="21" fillId="15" borderId="14" xfId="12" applyFont="1" applyFill="1" applyBorder="1" applyAlignment="1">
      <alignment horizontal="left" vertical="center" wrapText="1"/>
    </xf>
    <xf numFmtId="0" fontId="23" fillId="0" borderId="14" xfId="12" applyFont="1" applyBorder="1" applyAlignment="1">
      <alignment horizontal="left" vertical="center" wrapText="1"/>
    </xf>
    <xf numFmtId="0" fontId="23" fillId="0" borderId="23" xfId="12" applyFont="1" applyBorder="1" applyAlignment="1">
      <alignment horizontal="left" vertical="center" wrapText="1"/>
    </xf>
    <xf numFmtId="0" fontId="20" fillId="0" borderId="6" xfId="12" applyFont="1" applyBorder="1" applyAlignment="1">
      <alignment horizontal="left" vertical="center" wrapText="1"/>
    </xf>
    <xf numFmtId="0" fontId="20" fillId="0" borderId="18" xfId="12" applyFont="1" applyBorder="1" applyAlignment="1">
      <alignment horizontal="left" vertical="center" wrapText="1"/>
    </xf>
    <xf numFmtId="0" fontId="23" fillId="0" borderId="0" xfId="12" applyFont="1" applyAlignment="1">
      <alignment horizontal="left" vertical="center" wrapText="1"/>
    </xf>
    <xf numFmtId="0" fontId="17" fillId="0" borderId="0" xfId="9" applyFont="1" applyAlignment="1">
      <alignment horizontal="left" vertical="top"/>
    </xf>
    <xf numFmtId="0" fontId="17" fillId="0" borderId="39" xfId="9" applyFont="1" applyBorder="1" applyAlignment="1">
      <alignment horizontal="left" vertical="top"/>
    </xf>
    <xf numFmtId="0" fontId="17" fillId="15" borderId="35" xfId="9" applyFont="1" applyFill="1" applyBorder="1" applyAlignment="1">
      <alignment horizontal="left" vertical="top"/>
    </xf>
    <xf numFmtId="0" fontId="18" fillId="0" borderId="0" xfId="12" applyFont="1"/>
    <xf numFmtId="0" fontId="39" fillId="7" borderId="0" xfId="12" applyFont="1" applyFill="1"/>
    <xf numFmtId="0" fontId="39" fillId="7" borderId="0" xfId="12" applyFont="1" applyFill="1" applyAlignment="1">
      <alignment horizontal="center"/>
    </xf>
    <xf numFmtId="168" fontId="40" fillId="7" borderId="23" xfId="12" applyNumberFormat="1" applyFont="1" applyFill="1" applyBorder="1"/>
    <xf numFmtId="0" fontId="39" fillId="7" borderId="6" xfId="12" applyFont="1" applyFill="1" applyBorder="1" applyAlignment="1">
      <alignment horizontal="center"/>
    </xf>
    <xf numFmtId="0" fontId="40" fillId="7" borderId="34" xfId="12" applyFont="1" applyFill="1" applyBorder="1"/>
    <xf numFmtId="0" fontId="39" fillId="7" borderId="47" xfId="12" applyFont="1" applyFill="1" applyBorder="1" applyAlignment="1">
      <alignment horizontal="center"/>
    </xf>
    <xf numFmtId="0" fontId="40" fillId="47" borderId="47" xfId="12" applyFont="1" applyFill="1" applyBorder="1" applyAlignment="1">
      <alignment horizontal="center"/>
    </xf>
    <xf numFmtId="0" fontId="39" fillId="7" borderId="7" xfId="12" applyFont="1" applyFill="1" applyBorder="1"/>
    <xf numFmtId="0" fontId="39" fillId="7" borderId="48" xfId="12" applyFont="1" applyFill="1" applyBorder="1" applyAlignment="1">
      <alignment horizontal="center"/>
    </xf>
    <xf numFmtId="0" fontId="5" fillId="7" borderId="0" xfId="12" applyFont="1" applyFill="1"/>
    <xf numFmtId="0" fontId="39" fillId="7" borderId="17" xfId="12" applyFont="1" applyFill="1" applyBorder="1" applyAlignment="1">
      <alignment horizontal="center"/>
    </xf>
    <xf numFmtId="0" fontId="39" fillId="7" borderId="51" xfId="12" applyFont="1" applyFill="1" applyBorder="1" applyAlignment="1">
      <alignment horizontal="center"/>
    </xf>
    <xf numFmtId="0" fontId="39" fillId="7" borderId="16" xfId="12" applyFont="1" applyFill="1" applyBorder="1" applyAlignment="1">
      <alignment horizontal="center"/>
    </xf>
    <xf numFmtId="10" fontId="39" fillId="7" borderId="16" xfId="12" applyNumberFormat="1" applyFont="1" applyFill="1" applyBorder="1" applyAlignment="1">
      <alignment horizontal="center"/>
    </xf>
    <xf numFmtId="0" fontId="42" fillId="48" borderId="51" xfId="12" applyFont="1" applyFill="1" applyBorder="1" applyAlignment="1">
      <alignment horizontal="center"/>
    </xf>
    <xf numFmtId="0" fontId="42" fillId="48" borderId="0" xfId="12" applyFont="1" applyFill="1" applyAlignment="1">
      <alignment horizontal="center"/>
    </xf>
    <xf numFmtId="0" fontId="42" fillId="48" borderId="16" xfId="12" applyFont="1" applyFill="1" applyBorder="1" applyAlignment="1">
      <alignment horizontal="center"/>
    </xf>
    <xf numFmtId="0" fontId="42" fillId="48" borderId="2" xfId="12" applyFont="1" applyFill="1" applyBorder="1" applyAlignment="1">
      <alignment horizontal="center"/>
    </xf>
    <xf numFmtId="0" fontId="42" fillId="48" borderId="2" xfId="12" applyFont="1" applyFill="1" applyBorder="1"/>
    <xf numFmtId="0" fontId="42" fillId="48" borderId="3" xfId="12" applyFont="1" applyFill="1" applyBorder="1"/>
    <xf numFmtId="0" fontId="39" fillId="47" borderId="4" xfId="12" applyFont="1" applyFill="1" applyBorder="1" applyAlignment="1">
      <alignment horizontal="center"/>
    </xf>
    <xf numFmtId="0" fontId="39" fillId="47" borderId="0" xfId="12" applyFont="1" applyFill="1"/>
    <xf numFmtId="0" fontId="40" fillId="47" borderId="0" xfId="12" applyFont="1" applyFill="1" applyAlignment="1">
      <alignment horizontal="right"/>
    </xf>
    <xf numFmtId="0" fontId="40" fillId="47" borderId="5" xfId="12" applyFont="1" applyFill="1" applyBorder="1" applyAlignment="1">
      <alignment horizontal="right"/>
    </xf>
    <xf numFmtId="168" fontId="39" fillId="7" borderId="0" xfId="12" applyNumberFormat="1" applyFont="1" applyFill="1"/>
    <xf numFmtId="168" fontId="39" fillId="7" borderId="5" xfId="12" applyNumberFormat="1" applyFont="1" applyFill="1" applyBorder="1"/>
    <xf numFmtId="0" fontId="39" fillId="7" borderId="9" xfId="12" applyFont="1" applyFill="1" applyBorder="1"/>
    <xf numFmtId="0" fontId="39" fillId="7" borderId="10" xfId="12" applyFont="1" applyFill="1" applyBorder="1"/>
    <xf numFmtId="0" fontId="39" fillId="7" borderId="177" xfId="12" applyFont="1" applyFill="1" applyBorder="1"/>
    <xf numFmtId="0" fontId="39" fillId="7" borderId="11" xfId="12" applyFont="1" applyFill="1" applyBorder="1"/>
    <xf numFmtId="0" fontId="39" fillId="47" borderId="1" xfId="12" applyFont="1" applyFill="1" applyBorder="1"/>
    <xf numFmtId="0" fontId="39" fillId="47" borderId="2" xfId="12" applyFont="1" applyFill="1" applyBorder="1"/>
    <xf numFmtId="0" fontId="40" fillId="47" borderId="2" xfId="12" applyFont="1" applyFill="1" applyBorder="1" applyAlignment="1">
      <alignment horizontal="right"/>
    </xf>
    <xf numFmtId="0" fontId="40" fillId="47" borderId="3" xfId="12" applyFont="1" applyFill="1" applyBorder="1" applyAlignment="1">
      <alignment horizontal="right"/>
    </xf>
    <xf numFmtId="0" fontId="39" fillId="7" borderId="9" xfId="12" applyFont="1" applyFill="1" applyBorder="1" applyAlignment="1">
      <alignment horizontal="center"/>
    </xf>
    <xf numFmtId="0" fontId="39" fillId="7" borderId="5" xfId="12" applyFont="1" applyFill="1" applyBorder="1"/>
    <xf numFmtId="2" fontId="8" fillId="36" borderId="6" xfId="1" applyNumberFormat="1" applyFont="1" applyFill="1" applyBorder="1" applyAlignment="1" applyProtection="1">
      <alignment horizontal="left" vertical="center" wrapText="1"/>
      <protection locked="0"/>
    </xf>
    <xf numFmtId="0" fontId="39" fillId="0" borderId="0" xfId="0" applyFont="1"/>
    <xf numFmtId="0" fontId="21" fillId="11" borderId="47" xfId="12" applyFont="1" applyFill="1" applyBorder="1" applyAlignment="1">
      <alignment horizontal="left" vertical="center" wrapText="1"/>
    </xf>
    <xf numFmtId="0" fontId="10" fillId="11" borderId="47" xfId="12" applyFont="1" applyFill="1" applyBorder="1" applyAlignment="1">
      <alignment horizontal="left" vertical="center" wrapText="1"/>
    </xf>
    <xf numFmtId="0" fontId="23" fillId="7" borderId="0" xfId="12" applyFont="1" applyFill="1" applyAlignment="1">
      <alignment horizontal="left" vertical="center" wrapText="1"/>
    </xf>
    <xf numFmtId="0" fontId="8" fillId="7" borderId="0" xfId="12" applyFont="1" applyFill="1" applyAlignment="1">
      <alignment horizontal="left" vertical="center" wrapText="1"/>
    </xf>
    <xf numFmtId="0" fontId="38" fillId="7" borderId="0" xfId="12" applyFont="1" applyFill="1" applyAlignment="1">
      <alignment horizontal="left" vertical="center" wrapText="1"/>
    </xf>
    <xf numFmtId="0" fontId="21" fillId="7" borderId="0" xfId="12" applyFont="1" applyFill="1" applyAlignment="1">
      <alignment horizontal="left" vertical="center" wrapText="1"/>
    </xf>
    <xf numFmtId="0" fontId="23" fillId="0" borderId="197" xfId="12" applyFont="1" applyBorder="1" applyAlignment="1">
      <alignment horizontal="left" vertical="center" wrapText="1"/>
    </xf>
    <xf numFmtId="0" fontId="8" fillId="0" borderId="197" xfId="12" applyFont="1" applyBorder="1" applyAlignment="1">
      <alignment horizontal="left" vertical="center" wrapText="1"/>
    </xf>
    <xf numFmtId="0" fontId="17" fillId="0" borderId="197" xfId="12" applyBorder="1"/>
    <xf numFmtId="0" fontId="22" fillId="7" borderId="0" xfId="12" applyFont="1" applyFill="1" applyAlignment="1">
      <alignment horizontal="center" vertical="top" wrapText="1"/>
    </xf>
    <xf numFmtId="0" fontId="10" fillId="0" borderId="4" xfId="12" applyFont="1" applyBorder="1" applyAlignment="1">
      <alignment horizontal="center" vertical="center"/>
    </xf>
    <xf numFmtId="0" fontId="21" fillId="11" borderId="67" xfId="12" applyFont="1" applyFill="1" applyBorder="1" applyAlignment="1">
      <alignment horizontal="left" vertical="center" wrapText="1"/>
    </xf>
    <xf numFmtId="0" fontId="18" fillId="0" borderId="0" xfId="0" applyFont="1" applyAlignment="1">
      <alignment horizontal="left" vertical="center"/>
    </xf>
    <xf numFmtId="0" fontId="38" fillId="0" borderId="197" xfId="12" applyFont="1" applyBorder="1" applyAlignment="1">
      <alignment horizontal="left" vertical="center" wrapText="1"/>
    </xf>
    <xf numFmtId="0" fontId="21" fillId="0" borderId="197" xfId="12" applyFont="1" applyBorder="1" applyAlignment="1">
      <alignment horizontal="left" vertical="center" wrapText="1"/>
    </xf>
    <xf numFmtId="2" fontId="8" fillId="15" borderId="0" xfId="1" applyNumberFormat="1" applyFont="1" applyFill="1" applyAlignment="1" applyProtection="1">
      <alignment horizontal="center" vertical="center"/>
      <protection locked="0"/>
    </xf>
    <xf numFmtId="169" fontId="39" fillId="7" borderId="16" xfId="12" applyNumberFormat="1" applyFont="1" applyFill="1" applyBorder="1" applyAlignment="1">
      <alignment horizontal="center"/>
    </xf>
    <xf numFmtId="2" fontId="39" fillId="7" borderId="7" xfId="0" applyNumberFormat="1" applyFont="1" applyFill="1" applyBorder="1"/>
    <xf numFmtId="0" fontId="17" fillId="0" borderId="32" xfId="0" applyFont="1" applyBorder="1" applyAlignment="1">
      <alignment vertical="center" wrapText="1"/>
    </xf>
    <xf numFmtId="14" fontId="17" fillId="0" borderId="94" xfId="0" applyNumberFormat="1" applyFont="1" applyBorder="1" applyAlignment="1">
      <alignment vertical="center"/>
    </xf>
    <xf numFmtId="0" fontId="0" fillId="0" borderId="23" xfId="0" applyBorder="1"/>
    <xf numFmtId="0" fontId="0" fillId="0" borderId="6" xfId="0" applyBorder="1"/>
    <xf numFmtId="0" fontId="0" fillId="0" borderId="34" xfId="0" applyBorder="1"/>
    <xf numFmtId="0" fontId="0" fillId="0" borderId="15" xfId="0" applyBorder="1"/>
    <xf numFmtId="0" fontId="0" fillId="0" borderId="25" xfId="0" applyBorder="1"/>
    <xf numFmtId="0" fontId="0" fillId="0" borderId="49" xfId="0" applyBorder="1"/>
    <xf numFmtId="0" fontId="36" fillId="0" borderId="17" xfId="0" applyFont="1" applyBorder="1"/>
    <xf numFmtId="0" fontId="36" fillId="0" borderId="14" xfId="0" applyFont="1" applyBorder="1"/>
    <xf numFmtId="0" fontId="36" fillId="0" borderId="48" xfId="0" applyFont="1" applyBorder="1"/>
    <xf numFmtId="2" fontId="8" fillId="15" borderId="7" xfId="0" applyNumberFormat="1" applyFont="1" applyFill="1" applyBorder="1" applyAlignment="1">
      <alignment horizontal="right" vertical="center" wrapText="1"/>
    </xf>
    <xf numFmtId="2" fontId="8" fillId="15" borderId="48" xfId="0" applyNumberFormat="1" applyFont="1" applyFill="1" applyBorder="1" applyAlignment="1">
      <alignment horizontal="right" vertical="center" wrapText="1"/>
    </xf>
    <xf numFmtId="2" fontId="8" fillId="15" borderId="14" xfId="0" applyNumberFormat="1" applyFont="1" applyFill="1" applyBorder="1" applyAlignment="1">
      <alignment horizontal="right" vertical="center" wrapText="1"/>
    </xf>
    <xf numFmtId="2" fontId="8" fillId="0" borderId="14" xfId="0" applyNumberFormat="1" applyFont="1" applyBorder="1" applyAlignment="1">
      <alignment horizontal="right" vertical="center" wrapText="1"/>
    </xf>
    <xf numFmtId="2" fontId="8" fillId="0" borderId="16" xfId="0" applyNumberFormat="1" applyFont="1" applyBorder="1" applyAlignment="1">
      <alignment horizontal="right" vertical="center" wrapText="1"/>
    </xf>
    <xf numFmtId="0" fontId="17" fillId="0" borderId="33" xfId="0" applyFont="1" applyBorder="1" applyAlignment="1">
      <alignment horizontal="left" vertical="center"/>
    </xf>
    <xf numFmtId="0" fontId="48" fillId="0" borderId="0" xfId="0" applyFont="1" applyAlignment="1">
      <alignment horizontal="left" vertical="center" wrapText="1"/>
    </xf>
    <xf numFmtId="0" fontId="49" fillId="0" borderId="0" xfId="0" applyFont="1" applyAlignment="1">
      <alignment horizontal="left" vertical="center" wrapText="1"/>
    </xf>
    <xf numFmtId="0" fontId="32" fillId="0" borderId="0" xfId="0" applyFont="1" applyAlignment="1">
      <alignment horizontal="left" vertical="center" wrapText="1"/>
    </xf>
    <xf numFmtId="0" fontId="32" fillId="15" borderId="12" xfId="9" applyFont="1" applyFill="1" applyBorder="1" applyAlignment="1">
      <alignment horizontal="left" vertical="top"/>
    </xf>
    <xf numFmtId="2" fontId="32" fillId="0" borderId="19" xfId="9" applyNumberFormat="1" applyFont="1" applyBorder="1" applyAlignment="1">
      <alignment horizontal="left" vertical="top"/>
    </xf>
    <xf numFmtId="0" fontId="32" fillId="0" borderId="19" xfId="9" applyFont="1" applyBorder="1" applyAlignment="1">
      <alignment horizontal="left" vertical="top"/>
    </xf>
    <xf numFmtId="0" fontId="50" fillId="7" borderId="39" xfId="2" applyFont="1" applyFill="1" applyBorder="1" applyAlignment="1" applyProtection="1">
      <alignment horizontal="left" vertical="center" wrapText="1"/>
    </xf>
    <xf numFmtId="0" fontId="51" fillId="0" borderId="0" xfId="0" applyFont="1" applyAlignment="1">
      <alignment wrapText="1"/>
    </xf>
    <xf numFmtId="0" fontId="31" fillId="24" borderId="20" xfId="1" applyFont="1" applyFill="1" applyBorder="1" applyAlignment="1" applyProtection="1">
      <alignment horizontal="left" vertical="center" wrapText="1"/>
      <protection locked="0"/>
    </xf>
    <xf numFmtId="0" fontId="49" fillId="45" borderId="1" xfId="0" applyFont="1" applyFill="1" applyBorder="1" applyAlignment="1">
      <alignment horizontal="left" vertical="center" wrapText="1"/>
    </xf>
    <xf numFmtId="0" fontId="48" fillId="0" borderId="17" xfId="0" applyFont="1" applyBorder="1" applyAlignment="1">
      <alignment horizontal="left" vertical="center" wrapText="1"/>
    </xf>
    <xf numFmtId="0" fontId="48" fillId="0" borderId="42" xfId="0" applyFont="1" applyBorder="1" applyAlignment="1">
      <alignment horizontal="left" vertical="center" wrapText="1"/>
    </xf>
    <xf numFmtId="0" fontId="49" fillId="0" borderId="17" xfId="0" applyFont="1" applyBorder="1" applyAlignment="1">
      <alignment horizontal="left" vertical="center" wrapText="1"/>
    </xf>
    <xf numFmtId="0" fontId="48" fillId="0" borderId="41" xfId="0" applyFont="1" applyBorder="1" applyAlignment="1">
      <alignment horizontal="left" vertical="center" wrapText="1"/>
    </xf>
    <xf numFmtId="0" fontId="54" fillId="0" borderId="17" xfId="0" applyFont="1" applyBorder="1" applyAlignment="1">
      <alignment horizontal="left" vertical="center" wrapText="1"/>
    </xf>
    <xf numFmtId="0" fontId="55" fillId="0" borderId="6" xfId="0" applyFont="1" applyBorder="1" applyAlignment="1">
      <alignment horizontal="left" vertical="center" wrapText="1"/>
    </xf>
    <xf numFmtId="0" fontId="48" fillId="9" borderId="6" xfId="0" applyFont="1" applyFill="1" applyBorder="1" applyAlignment="1">
      <alignment horizontal="left" vertical="center" wrapText="1"/>
    </xf>
    <xf numFmtId="0" fontId="48" fillId="0" borderId="6" xfId="0" applyFont="1" applyBorder="1" applyAlignment="1">
      <alignment horizontal="left" vertical="center" wrapText="1"/>
    </xf>
    <xf numFmtId="0" fontId="56" fillId="0" borderId="72" xfId="0" applyFont="1" applyBorder="1" applyAlignment="1">
      <alignment horizontal="left" vertical="center" wrapText="1"/>
    </xf>
    <xf numFmtId="0" fontId="56" fillId="0" borderId="6" xfId="0" applyFont="1" applyBorder="1" applyAlignment="1">
      <alignment horizontal="left" vertical="center" wrapText="1"/>
    </xf>
    <xf numFmtId="0" fontId="55" fillId="9" borderId="6" xfId="0" applyFont="1" applyFill="1" applyBorder="1" applyAlignment="1">
      <alignment horizontal="left" vertical="center" wrapText="1"/>
    </xf>
    <xf numFmtId="0" fontId="55" fillId="0" borderId="17" xfId="0" applyFont="1" applyBorder="1" applyAlignment="1">
      <alignment horizontal="left" vertical="center" wrapText="1"/>
    </xf>
    <xf numFmtId="0" fontId="56" fillId="0" borderId="6" xfId="0" applyFont="1" applyBorder="1" applyAlignment="1">
      <alignment horizontal="left" wrapText="1" readingOrder="1"/>
    </xf>
    <xf numFmtId="0" fontId="55" fillId="0" borderId="16" xfId="0" applyFont="1" applyBorder="1" applyAlignment="1">
      <alignment horizontal="left" vertical="center" wrapText="1"/>
    </xf>
    <xf numFmtId="0" fontId="55" fillId="0" borderId="7" xfId="0" applyFont="1" applyBorder="1" applyAlignment="1">
      <alignment horizontal="left" vertical="center" wrapText="1"/>
    </xf>
    <xf numFmtId="0" fontId="56" fillId="0" borderId="42" xfId="0" applyFont="1" applyBorder="1" applyAlignment="1">
      <alignment horizontal="left" wrapText="1" readingOrder="1"/>
    </xf>
    <xf numFmtId="0" fontId="55" fillId="9" borderId="17" xfId="0" applyFont="1" applyFill="1" applyBorder="1" applyAlignment="1">
      <alignment horizontal="left"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2" fillId="0" borderId="35" xfId="0" applyFont="1" applyBorder="1" applyAlignment="1">
      <alignment horizontal="left"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9" xfId="0" applyFont="1" applyBorder="1" applyAlignment="1">
      <alignment horizontal="left" vertical="center" wrapText="1"/>
    </xf>
    <xf numFmtId="0" fontId="32" fillId="0" borderId="10" xfId="0" applyFont="1" applyBorder="1" applyAlignment="1">
      <alignment horizontal="left" vertical="center" wrapText="1"/>
    </xf>
    <xf numFmtId="0" fontId="32" fillId="0" borderId="11" xfId="0" applyFont="1" applyBorder="1" applyAlignment="1">
      <alignment horizontal="left" vertical="center" wrapText="1"/>
    </xf>
    <xf numFmtId="0" fontId="55" fillId="0" borderId="27" xfId="0" applyFont="1" applyBorder="1" applyAlignment="1">
      <alignment horizontal="left" vertical="center" wrapText="1"/>
    </xf>
    <xf numFmtId="0" fontId="55" fillId="9" borderId="26" xfId="0" applyFont="1" applyFill="1" applyBorder="1" applyAlignment="1">
      <alignment horizontal="left" vertical="center" wrapText="1"/>
    </xf>
    <xf numFmtId="0" fontId="56" fillId="0" borderId="92" xfId="0" applyFont="1" applyBorder="1" applyAlignment="1">
      <alignment horizontal="left" wrapText="1" readingOrder="1"/>
    </xf>
    <xf numFmtId="0" fontId="55" fillId="9" borderId="30" xfId="0" applyFont="1" applyFill="1" applyBorder="1" applyAlignment="1">
      <alignment horizontal="left" vertical="center" wrapText="1"/>
    </xf>
    <xf numFmtId="0" fontId="23" fillId="0" borderId="6" xfId="0" applyFont="1" applyBorder="1" applyAlignment="1">
      <alignment horizontal="left" vertical="center" wrapText="1"/>
    </xf>
    <xf numFmtId="1" fontId="17" fillId="0" borderId="0" xfId="9" applyNumberFormat="1" applyFont="1" applyAlignment="1">
      <alignment horizontal="left" vertical="center" wrapText="1"/>
    </xf>
    <xf numFmtId="0" fontId="39" fillId="7" borderId="4" xfId="12" applyFont="1" applyFill="1" applyBorder="1" applyAlignment="1">
      <alignment horizontal="center"/>
    </xf>
    <xf numFmtId="0" fontId="42" fillId="48" borderId="1" xfId="12" applyFont="1" applyFill="1" applyBorder="1" applyAlignment="1">
      <alignment horizontal="center"/>
    </xf>
    <xf numFmtId="0" fontId="49" fillId="49" borderId="39" xfId="0" applyFont="1" applyFill="1" applyBorder="1" applyAlignment="1">
      <alignment horizontal="center" vertical="center" wrapText="1"/>
    </xf>
    <xf numFmtId="0" fontId="55" fillId="0" borderId="14" xfId="0" applyFont="1" applyBorder="1" applyAlignment="1">
      <alignment horizontal="left" vertical="center" wrapText="1"/>
    </xf>
    <xf numFmtId="0" fontId="56" fillId="0" borderId="41" xfId="0" applyFont="1" applyBorder="1" applyAlignment="1">
      <alignment horizontal="left" wrapText="1" readingOrder="1"/>
    </xf>
    <xf numFmtId="2" fontId="48" fillId="0" borderId="6" xfId="0" applyNumberFormat="1" applyFont="1" applyBorder="1" applyAlignment="1">
      <alignment horizontal="left" vertical="center" wrapText="1"/>
    </xf>
    <xf numFmtId="2" fontId="55" fillId="0" borderId="17" xfId="0" applyNumberFormat="1" applyFont="1" applyBorder="1" applyAlignment="1">
      <alignment horizontal="left" vertical="center" wrapText="1"/>
    </xf>
    <xf numFmtId="2" fontId="55" fillId="0" borderId="6" xfId="0" applyNumberFormat="1" applyFont="1" applyBorder="1" applyAlignment="1">
      <alignment horizontal="left" vertical="center" wrapText="1"/>
    </xf>
    <xf numFmtId="0" fontId="20" fillId="0" borderId="0" xfId="12" applyFont="1" applyAlignment="1">
      <alignment horizontal="left" vertical="center" wrapText="1"/>
    </xf>
    <xf numFmtId="0" fontId="23" fillId="0" borderId="23" xfId="12" applyFont="1" applyBorder="1" applyAlignment="1">
      <alignment vertical="center" wrapText="1"/>
    </xf>
    <xf numFmtId="0" fontId="23" fillId="0" borderId="6" xfId="12" applyFont="1" applyBorder="1" applyAlignment="1">
      <alignment vertical="center" wrapText="1"/>
    </xf>
    <xf numFmtId="0" fontId="8" fillId="0" borderId="23" xfId="1" applyFont="1" applyBorder="1" applyAlignment="1">
      <alignment horizontal="left" vertical="center"/>
    </xf>
    <xf numFmtId="167" fontId="8" fillId="7" borderId="22" xfId="12" applyNumberFormat="1" applyFont="1" applyFill="1" applyBorder="1" applyAlignment="1">
      <alignment horizontal="center"/>
    </xf>
    <xf numFmtId="167" fontId="8" fillId="7" borderId="18" xfId="12" applyNumberFormat="1" applyFont="1" applyFill="1" applyBorder="1" applyAlignment="1">
      <alignment horizontal="center"/>
    </xf>
    <xf numFmtId="167" fontId="8" fillId="7" borderId="29" xfId="12" applyNumberFormat="1" applyFont="1" applyFill="1" applyBorder="1" applyAlignment="1">
      <alignment horizontal="center"/>
    </xf>
    <xf numFmtId="167" fontId="8" fillId="7" borderId="23" xfId="12" applyNumberFormat="1" applyFont="1" applyFill="1" applyBorder="1" applyAlignment="1">
      <alignment horizontal="center"/>
    </xf>
    <xf numFmtId="167" fontId="8" fillId="7" borderId="6" xfId="12" applyNumberFormat="1" applyFont="1" applyFill="1" applyBorder="1" applyAlignment="1">
      <alignment horizontal="center"/>
    </xf>
    <xf numFmtId="167" fontId="8" fillId="7" borderId="24" xfId="12" applyNumberFormat="1" applyFont="1" applyFill="1" applyBorder="1" applyAlignment="1">
      <alignment horizontal="center"/>
    </xf>
    <xf numFmtId="0" fontId="0" fillId="7" borderId="6" xfId="0" applyFill="1" applyBorder="1" applyAlignment="1">
      <alignment vertical="center" wrapText="1"/>
    </xf>
    <xf numFmtId="0" fontId="23" fillId="0" borderId="17" xfId="12" applyFont="1" applyBorder="1" applyAlignment="1">
      <alignment vertical="center" wrapText="1"/>
    </xf>
    <xf numFmtId="0" fontId="23" fillId="0" borderId="14" xfId="12" applyFont="1" applyBorder="1" applyAlignment="1">
      <alignment vertical="center" wrapText="1"/>
    </xf>
    <xf numFmtId="0" fontId="8" fillId="0" borderId="23" xfId="12" applyFont="1" applyBorder="1" applyAlignment="1">
      <alignment horizontal="left" vertical="center" wrapText="1"/>
    </xf>
    <xf numFmtId="0" fontId="8" fillId="7" borderId="23" xfId="12" applyFont="1" applyFill="1" applyBorder="1" applyAlignment="1">
      <alignment horizontal="left" vertical="center" wrapText="1"/>
    </xf>
    <xf numFmtId="167" fontId="8" fillId="7" borderId="56" xfId="12" applyNumberFormat="1" applyFont="1" applyFill="1" applyBorder="1" applyAlignment="1">
      <alignment horizontal="center"/>
    </xf>
    <xf numFmtId="167" fontId="8" fillId="7" borderId="27" xfId="12" applyNumberFormat="1" applyFont="1" applyFill="1" applyBorder="1" applyAlignment="1">
      <alignment horizontal="center"/>
    </xf>
    <xf numFmtId="167" fontId="8" fillId="7" borderId="28" xfId="12" applyNumberFormat="1" applyFont="1" applyFill="1" applyBorder="1" applyAlignment="1">
      <alignment horizontal="center"/>
    </xf>
    <xf numFmtId="0" fontId="23" fillId="7" borderId="56" xfId="12" applyFont="1" applyFill="1" applyBorder="1" applyAlignment="1">
      <alignment horizontal="left" vertical="center" wrapText="1"/>
    </xf>
    <xf numFmtId="0" fontId="0" fillId="7" borderId="27" xfId="0" applyFill="1" applyBorder="1" applyAlignment="1">
      <alignment vertical="center" wrapText="1"/>
    </xf>
    <xf numFmtId="0" fontId="23" fillId="0" borderId="205" xfId="12" applyFont="1" applyBorder="1" applyAlignment="1">
      <alignment vertical="center" wrapText="1"/>
    </xf>
    <xf numFmtId="0" fontId="23" fillId="0" borderId="18" xfId="12" applyFont="1" applyBorder="1" applyAlignment="1">
      <alignment vertical="center" wrapText="1"/>
    </xf>
    <xf numFmtId="0" fontId="23" fillId="0" borderId="206" xfId="12" applyFont="1" applyBorder="1" applyAlignment="1">
      <alignment vertical="center" wrapText="1"/>
    </xf>
    <xf numFmtId="0" fontId="23" fillId="7" borderId="26" xfId="12" applyFont="1" applyFill="1" applyBorder="1" applyAlignment="1">
      <alignment horizontal="left" vertical="center" wrapText="1"/>
    </xf>
    <xf numFmtId="0" fontId="8" fillId="7" borderId="27" xfId="12" applyFont="1" applyFill="1" applyBorder="1" applyAlignment="1">
      <alignment horizontal="left" vertical="center" wrapText="1"/>
    </xf>
    <xf numFmtId="0" fontId="0" fillId="7" borderId="31" xfId="0" applyFill="1" applyBorder="1" applyAlignment="1">
      <alignment vertical="center" wrapText="1"/>
    </xf>
    <xf numFmtId="0" fontId="0" fillId="7" borderId="47" xfId="0" applyFill="1" applyBorder="1" applyAlignment="1">
      <alignment vertical="center" wrapText="1"/>
    </xf>
    <xf numFmtId="0" fontId="0" fillId="7" borderId="25" xfId="0" applyFill="1" applyBorder="1" applyAlignment="1">
      <alignment vertical="center" wrapText="1"/>
    </xf>
    <xf numFmtId="0" fontId="0" fillId="7" borderId="8" xfId="0" applyFill="1" applyBorder="1" applyAlignment="1">
      <alignment vertical="center" wrapText="1"/>
    </xf>
    <xf numFmtId="0" fontId="0" fillId="7" borderId="183" xfId="0" applyFill="1" applyBorder="1" applyAlignment="1">
      <alignment vertical="center" wrapText="1"/>
    </xf>
    <xf numFmtId="0" fontId="0" fillId="7" borderId="52" xfId="0" applyFill="1" applyBorder="1" applyAlignment="1">
      <alignment vertical="center" wrapText="1"/>
    </xf>
    <xf numFmtId="0" fontId="21" fillId="15" borderId="22" xfId="12" applyFont="1" applyFill="1" applyBorder="1" applyAlignment="1">
      <alignment horizontal="left" vertical="center" wrapText="1"/>
    </xf>
    <xf numFmtId="0" fontId="21" fillId="15" borderId="23" xfId="12" applyFont="1" applyFill="1" applyBorder="1" applyAlignment="1">
      <alignment horizontal="left" vertical="center" wrapText="1"/>
    </xf>
    <xf numFmtId="0" fontId="21" fillId="15" borderId="17" xfId="12" applyFont="1" applyFill="1" applyBorder="1" applyAlignment="1">
      <alignment horizontal="left" vertical="center" wrapText="1"/>
    </xf>
    <xf numFmtId="0" fontId="21" fillId="15" borderId="15" xfId="12" applyFont="1" applyFill="1" applyBorder="1" applyAlignment="1">
      <alignment horizontal="left" vertical="center" wrapText="1"/>
    </xf>
    <xf numFmtId="0" fontId="0" fillId="7" borderId="26" xfId="0" applyFill="1" applyBorder="1" applyAlignment="1">
      <alignment vertical="center" wrapText="1"/>
    </xf>
    <xf numFmtId="0" fontId="23" fillId="7" borderId="27" xfId="12" applyFont="1" applyFill="1" applyBorder="1" applyAlignment="1">
      <alignment horizontal="left" vertical="center" wrapText="1"/>
    </xf>
    <xf numFmtId="0" fontId="23" fillId="7" borderId="28" xfId="12" applyFont="1" applyFill="1" applyBorder="1" applyAlignment="1">
      <alignment horizontal="left" vertical="center" wrapText="1"/>
    </xf>
    <xf numFmtId="0" fontId="17" fillId="0" borderId="50" xfId="12" applyBorder="1"/>
    <xf numFmtId="167" fontId="17" fillId="0" borderId="18" xfId="12" applyNumberFormat="1" applyBorder="1"/>
    <xf numFmtId="167" fontId="17" fillId="0" borderId="29" xfId="12" applyNumberFormat="1" applyBorder="1"/>
    <xf numFmtId="0" fontId="17" fillId="0" borderId="34" xfId="12" applyBorder="1"/>
    <xf numFmtId="167" fontId="17" fillId="0" borderId="6" xfId="12" applyNumberFormat="1" applyBorder="1"/>
    <xf numFmtId="167" fontId="17" fillId="0" borderId="24" xfId="12" applyNumberFormat="1" applyBorder="1"/>
    <xf numFmtId="0" fontId="23" fillId="0" borderId="6" xfId="0" applyFont="1" applyBorder="1" applyAlignment="1">
      <alignment horizontal="right" vertical="center" wrapText="1"/>
    </xf>
    <xf numFmtId="0" fontId="23" fillId="0" borderId="6" xfId="0" applyFont="1" applyBorder="1"/>
    <xf numFmtId="0" fontId="8" fillId="0" borderId="27" xfId="12" applyFont="1" applyBorder="1" applyAlignment="1">
      <alignment horizontal="left" vertical="center" wrapText="1"/>
    </xf>
    <xf numFmtId="0" fontId="8" fillId="0" borderId="27" xfId="12" applyFont="1" applyBorder="1" applyAlignment="1">
      <alignment horizontal="right" vertical="center" wrapText="1"/>
    </xf>
    <xf numFmtId="0" fontId="17" fillId="0" borderId="68" xfId="12" applyBorder="1"/>
    <xf numFmtId="167" fontId="17" fillId="0" borderId="27" xfId="12" applyNumberFormat="1" applyBorder="1"/>
    <xf numFmtId="167" fontId="17" fillId="0" borderId="28" xfId="12" applyNumberFormat="1" applyBorder="1"/>
    <xf numFmtId="2" fontId="20" fillId="0" borderId="17" xfId="0" applyNumberFormat="1" applyFont="1" applyBorder="1" applyAlignment="1">
      <alignment horizontal="right" vertical="center" wrapText="1"/>
    </xf>
    <xf numFmtId="2" fontId="17" fillId="7" borderId="23" xfId="11" applyNumberFormat="1" applyFill="1" applyBorder="1" applyAlignment="1">
      <alignment horizontal="right"/>
    </xf>
    <xf numFmtId="0" fontId="49" fillId="0" borderId="7" xfId="0" applyFont="1" applyBorder="1" applyAlignment="1">
      <alignment horizontal="left" vertical="center" wrapText="1"/>
    </xf>
    <xf numFmtId="1" fontId="8" fillId="0" borderId="14" xfId="10" applyNumberFormat="1" applyFont="1" applyBorder="1" applyAlignment="1" applyProtection="1">
      <alignment horizontal="left" vertical="center" wrapText="1"/>
      <protection locked="0"/>
    </xf>
    <xf numFmtId="1" fontId="8" fillId="0" borderId="6" xfId="10" applyNumberFormat="1" applyFont="1" applyBorder="1" applyAlignment="1" applyProtection="1">
      <alignment horizontal="left" vertical="center" wrapText="1"/>
      <protection locked="0"/>
    </xf>
    <xf numFmtId="1" fontId="8" fillId="0" borderId="25" xfId="10" applyNumberFormat="1" applyFont="1" applyBorder="1" applyAlignment="1" applyProtection="1">
      <alignment horizontal="left" vertical="center" wrapText="1"/>
      <protection locked="0"/>
    </xf>
    <xf numFmtId="1" fontId="10" fillId="29" borderId="51" xfId="10" applyNumberFormat="1" applyFont="1" applyFill="1" applyBorder="1" applyAlignment="1" applyProtection="1">
      <alignment horizontal="left" vertical="center" wrapText="1"/>
      <protection locked="0"/>
    </xf>
    <xf numFmtId="1" fontId="10" fillId="29" borderId="0" xfId="10" applyNumberFormat="1" applyFont="1" applyFill="1" applyAlignment="1" applyProtection="1">
      <alignment horizontal="left" vertical="center" wrapText="1"/>
      <protection locked="0"/>
    </xf>
    <xf numFmtId="1" fontId="8" fillId="9" borderId="47" xfId="10" applyNumberFormat="1" applyFont="1" applyFill="1" applyBorder="1" applyAlignment="1" applyProtection="1">
      <alignment horizontal="left" vertical="center" wrapText="1"/>
      <protection locked="0"/>
    </xf>
    <xf numFmtId="0" fontId="32" fillId="0" borderId="6" xfId="0" applyFont="1" applyBorder="1" applyAlignment="1">
      <alignment horizontal="left" vertical="center"/>
    </xf>
    <xf numFmtId="0" fontId="23" fillId="0" borderId="6" xfId="0" applyFont="1" applyBorder="1" applyAlignment="1">
      <alignment vertical="center" wrapText="1"/>
    </xf>
    <xf numFmtId="0" fontId="23" fillId="0" borderId="6" xfId="0" applyFont="1" applyBorder="1" applyAlignment="1">
      <alignment wrapText="1"/>
    </xf>
    <xf numFmtId="0" fontId="48" fillId="0" borderId="6" xfId="0" applyFont="1" applyBorder="1" applyAlignment="1">
      <alignment vertical="center" wrapText="1"/>
    </xf>
    <xf numFmtId="0" fontId="48" fillId="0" borderId="6" xfId="0" applyFont="1" applyBorder="1" applyAlignment="1">
      <alignment wrapText="1"/>
    </xf>
    <xf numFmtId="0" fontId="55" fillId="0" borderId="6" xfId="0" applyFont="1" applyBorder="1" applyAlignment="1">
      <alignment wrapText="1"/>
    </xf>
    <xf numFmtId="0" fontId="55" fillId="0" borderId="47" xfId="0" applyFont="1" applyBorder="1" applyAlignment="1">
      <alignment horizontal="left" vertical="center" wrapText="1"/>
    </xf>
    <xf numFmtId="0" fontId="55" fillId="0" borderId="0" xfId="0" applyFont="1" applyAlignment="1">
      <alignment horizontal="left" vertical="center" wrapText="1"/>
    </xf>
    <xf numFmtId="0" fontId="56" fillId="0" borderId="72" xfId="0" applyFont="1" applyBorder="1" applyAlignment="1">
      <alignment horizontal="left" wrapText="1" readingOrder="1"/>
    </xf>
    <xf numFmtId="0" fontId="56" fillId="0" borderId="41" xfId="0" applyFont="1" applyBorder="1" applyAlignment="1">
      <alignment horizontal="left" vertical="center" wrapText="1" readingOrder="1"/>
    </xf>
    <xf numFmtId="0" fontId="49" fillId="0" borderId="6" xfId="0" applyFont="1" applyBorder="1" applyAlignment="1">
      <alignment horizontal="left" vertical="center" wrapText="1"/>
    </xf>
    <xf numFmtId="0" fontId="48" fillId="0" borderId="14" xfId="0" applyFont="1" applyBorder="1" applyAlignment="1">
      <alignment vertical="center" wrapText="1"/>
    </xf>
    <xf numFmtId="0" fontId="56" fillId="0" borderId="42" xfId="0" applyFont="1" applyBorder="1" applyAlignment="1">
      <alignment horizontal="left" vertical="center" wrapText="1" readingOrder="1"/>
    </xf>
    <xf numFmtId="0" fontId="32" fillId="0" borderId="6" xfId="0" applyFont="1" applyBorder="1" applyAlignment="1">
      <alignment vertical="center" wrapText="1"/>
    </xf>
    <xf numFmtId="0" fontId="48" fillId="0" borderId="16" xfId="0" applyFont="1" applyBorder="1" applyAlignment="1">
      <alignment horizontal="left" vertical="center" wrapText="1"/>
    </xf>
    <xf numFmtId="0" fontId="55" fillId="9" borderId="16" xfId="0" applyFont="1" applyFill="1" applyBorder="1" applyAlignment="1">
      <alignment horizontal="left" vertical="center" wrapText="1"/>
    </xf>
    <xf numFmtId="0" fontId="55" fillId="9" borderId="70" xfId="0" applyFont="1" applyFill="1" applyBorder="1" applyAlignment="1">
      <alignment horizontal="left" vertical="center" wrapText="1"/>
    </xf>
    <xf numFmtId="0" fontId="32" fillId="0" borderId="6" xfId="0" applyFont="1" applyBorder="1" applyAlignment="1">
      <alignment wrapText="1"/>
    </xf>
    <xf numFmtId="0" fontId="32" fillId="9" borderId="6" xfId="0" applyFont="1" applyFill="1" applyBorder="1" applyAlignment="1">
      <alignment horizontal="left" vertical="center" wrapText="1"/>
    </xf>
    <xf numFmtId="0" fontId="49" fillId="0" borderId="16" xfId="0" applyFont="1" applyBorder="1" applyAlignment="1">
      <alignment horizontal="left" vertical="center" wrapText="1"/>
    </xf>
    <xf numFmtId="0" fontId="54" fillId="0" borderId="16" xfId="0" applyFont="1" applyBorder="1" applyAlignment="1">
      <alignment horizontal="left" vertical="center" wrapText="1"/>
    </xf>
    <xf numFmtId="0" fontId="55" fillId="0" borderId="177" xfId="0" applyFont="1" applyBorder="1" applyAlignment="1">
      <alignment horizontal="left" vertical="center" wrapText="1"/>
    </xf>
    <xf numFmtId="0" fontId="32" fillId="0" borderId="6" xfId="0" applyFont="1" applyBorder="1" applyAlignment="1">
      <alignment horizontal="left" vertical="center" wrapText="1"/>
    </xf>
    <xf numFmtId="0" fontId="49" fillId="11" borderId="55" xfId="0" applyFont="1" applyFill="1" applyBorder="1" applyAlignment="1">
      <alignment horizontal="left" vertical="center" wrapText="1"/>
    </xf>
    <xf numFmtId="49" fontId="49" fillId="11" borderId="55" xfId="0" applyNumberFormat="1" applyFont="1" applyFill="1" applyBorder="1" applyAlignment="1">
      <alignment horizontal="left" vertical="center" wrapText="1"/>
    </xf>
    <xf numFmtId="49" fontId="49" fillId="22" borderId="55" xfId="0" applyNumberFormat="1" applyFont="1" applyFill="1" applyBorder="1" applyAlignment="1">
      <alignment horizontal="left" vertical="center" wrapText="1"/>
    </xf>
    <xf numFmtId="0" fontId="31" fillId="11" borderId="55" xfId="0" applyFont="1" applyFill="1" applyBorder="1" applyAlignment="1">
      <alignment horizontal="left" vertical="center" wrapText="1"/>
    </xf>
    <xf numFmtId="0" fontId="49" fillId="45" borderId="2" xfId="0" applyFont="1" applyFill="1" applyBorder="1" applyAlignment="1">
      <alignment horizontal="left" vertical="center" wrapText="1"/>
    </xf>
    <xf numFmtId="0" fontId="49" fillId="46" borderId="183" xfId="0" applyFont="1" applyFill="1" applyBorder="1" applyAlignment="1">
      <alignment horizontal="left" vertical="center" wrapText="1"/>
    </xf>
    <xf numFmtId="0" fontId="49" fillId="46" borderId="3" xfId="0" applyFont="1" applyFill="1" applyBorder="1" applyAlignment="1">
      <alignment horizontal="left" vertical="center" wrapText="1"/>
    </xf>
    <xf numFmtId="0" fontId="49" fillId="11" borderId="52" xfId="0" applyFont="1" applyFill="1" applyBorder="1" applyAlignment="1">
      <alignment horizontal="left" vertical="center" wrapText="1"/>
    </xf>
    <xf numFmtId="0" fontId="49" fillId="11" borderId="53" xfId="0" applyFont="1" applyFill="1" applyBorder="1" applyAlignment="1">
      <alignment horizontal="left" vertical="center" wrapText="1"/>
    </xf>
    <xf numFmtId="0" fontId="48" fillId="7" borderId="6" xfId="0" applyFont="1" applyFill="1" applyBorder="1" applyAlignment="1">
      <alignment horizontal="left" vertical="center" wrapText="1"/>
    </xf>
    <xf numFmtId="0" fontId="55" fillId="9" borderId="14" xfId="0" applyFont="1" applyFill="1" applyBorder="1" applyAlignment="1">
      <alignment horizontal="left" vertical="center" wrapText="1"/>
    </xf>
    <xf numFmtId="0" fontId="49" fillId="22" borderId="183" xfId="0" applyFont="1" applyFill="1" applyBorder="1" applyAlignment="1">
      <alignment horizontal="left" vertical="center" wrapText="1"/>
    </xf>
    <xf numFmtId="0" fontId="49" fillId="22" borderId="55" xfId="0" applyFont="1" applyFill="1" applyBorder="1" applyAlignment="1">
      <alignment horizontal="left" vertical="center" wrapText="1"/>
    </xf>
    <xf numFmtId="0" fontId="48" fillId="0" borderId="25" xfId="0" applyFont="1" applyBorder="1" applyAlignment="1">
      <alignment horizontal="left" vertical="center" wrapText="1"/>
    </xf>
    <xf numFmtId="0" fontId="48" fillId="0" borderId="72" xfId="0" applyFont="1" applyBorder="1" applyAlignment="1">
      <alignment horizontal="left" vertical="center" wrapText="1"/>
    </xf>
    <xf numFmtId="0" fontId="48" fillId="0" borderId="14" xfId="0" applyFont="1" applyBorder="1" applyAlignment="1">
      <alignment horizontal="left" vertical="center" wrapText="1"/>
    </xf>
    <xf numFmtId="0" fontId="56" fillId="0" borderId="211" xfId="0" applyFont="1" applyBorder="1" applyAlignment="1">
      <alignment horizontal="left" vertical="center" wrapText="1"/>
    </xf>
    <xf numFmtId="0" fontId="48" fillId="0" borderId="47" xfId="0" applyFont="1" applyBorder="1" applyAlignment="1">
      <alignment horizontal="left" vertical="center" wrapText="1"/>
    </xf>
    <xf numFmtId="0" fontId="56" fillId="0" borderId="211" xfId="0" applyFont="1" applyBorder="1" applyAlignment="1">
      <alignment horizontal="left" wrapText="1" readingOrder="1"/>
    </xf>
    <xf numFmtId="0" fontId="48" fillId="9" borderId="21" xfId="0" applyFont="1" applyFill="1" applyBorder="1" applyAlignment="1">
      <alignment horizontal="left" vertical="center" wrapText="1"/>
    </xf>
    <xf numFmtId="0" fontId="48" fillId="0" borderId="22" xfId="0" applyFont="1" applyBorder="1" applyAlignment="1">
      <alignment horizontal="left" vertical="center" wrapText="1"/>
    </xf>
    <xf numFmtId="0" fontId="48" fillId="0" borderId="129" xfId="0" applyFont="1" applyBorder="1" applyAlignment="1">
      <alignment horizontal="left" vertical="center" wrapText="1"/>
    </xf>
    <xf numFmtId="0" fontId="48" fillId="9" borderId="22" xfId="0" applyFont="1" applyFill="1" applyBorder="1" applyAlignment="1">
      <alignment horizontal="left" vertical="center" wrapText="1"/>
    </xf>
    <xf numFmtId="0" fontId="49" fillId="0" borderId="22" xfId="0" applyFont="1" applyBorder="1" applyAlignment="1">
      <alignment horizontal="left" vertical="center" wrapText="1"/>
    </xf>
    <xf numFmtId="0" fontId="54" fillId="0" borderId="22" xfId="0" applyFont="1" applyBorder="1" applyAlignment="1">
      <alignment horizontal="left" vertical="center" wrapText="1"/>
    </xf>
    <xf numFmtId="2" fontId="48" fillId="0" borderId="22" xfId="0" applyNumberFormat="1" applyFont="1" applyBorder="1" applyAlignment="1">
      <alignment horizontal="left" vertical="center" wrapText="1"/>
    </xf>
    <xf numFmtId="2" fontId="48" fillId="0" borderId="18" xfId="0" applyNumberFormat="1" applyFont="1" applyBorder="1" applyAlignment="1">
      <alignment horizontal="left" vertical="center" wrapText="1"/>
    </xf>
    <xf numFmtId="0" fontId="48" fillId="0" borderId="18" xfId="0" applyFont="1" applyBorder="1" applyAlignment="1">
      <alignment horizontal="left" vertical="center" wrapText="1"/>
    </xf>
    <xf numFmtId="0" fontId="48" fillId="0" borderId="29" xfId="0" applyFont="1" applyBorder="1" applyAlignment="1">
      <alignment horizontal="left" vertical="center" wrapText="1"/>
    </xf>
    <xf numFmtId="0" fontId="48" fillId="9" borderId="70" xfId="0" applyFont="1" applyFill="1" applyBorder="1" applyAlignment="1">
      <alignment horizontal="left" vertical="center" wrapText="1"/>
    </xf>
    <xf numFmtId="0" fontId="48" fillId="0" borderId="30" xfId="0" applyFont="1" applyBorder="1" applyAlignment="1">
      <alignment horizontal="left" vertical="center" wrapText="1"/>
    </xf>
    <xf numFmtId="0" fontId="48" fillId="0" borderId="99" xfId="0" applyFont="1" applyBorder="1" applyAlignment="1">
      <alignment horizontal="left" vertical="center" wrapText="1"/>
    </xf>
    <xf numFmtId="0" fontId="48" fillId="9" borderId="30" xfId="0" applyFont="1" applyFill="1" applyBorder="1" applyAlignment="1">
      <alignment horizontal="left" vertical="center" wrapText="1"/>
    </xf>
    <xf numFmtId="0" fontId="49" fillId="0" borderId="30" xfId="0" applyFont="1" applyBorder="1" applyAlignment="1">
      <alignment horizontal="left" vertical="center" wrapText="1"/>
    </xf>
    <xf numFmtId="0" fontId="54" fillId="0" borderId="30" xfId="0" applyFont="1" applyBorder="1" applyAlignment="1">
      <alignment horizontal="left" vertical="center" wrapText="1"/>
    </xf>
    <xf numFmtId="2" fontId="48" fillId="0" borderId="30" xfId="0" applyNumberFormat="1" applyFont="1" applyBorder="1" applyAlignment="1">
      <alignment horizontal="left" vertical="center" wrapText="1"/>
    </xf>
    <xf numFmtId="2" fontId="48" fillId="0" borderId="27" xfId="0" applyNumberFormat="1" applyFont="1" applyBorder="1" applyAlignment="1">
      <alignment horizontal="left" vertical="center" wrapText="1"/>
    </xf>
    <xf numFmtId="0" fontId="48" fillId="0" borderId="27" xfId="0" applyFont="1" applyBorder="1" applyAlignment="1">
      <alignment horizontal="left" vertical="center" wrapText="1"/>
    </xf>
    <xf numFmtId="0" fontId="48" fillId="0" borderId="28" xfId="0" applyFont="1" applyBorder="1" applyAlignment="1">
      <alignment horizontal="left" vertical="center" wrapText="1"/>
    </xf>
    <xf numFmtId="0" fontId="48" fillId="7" borderId="18" xfId="0" applyFont="1" applyFill="1" applyBorder="1" applyAlignment="1">
      <alignment horizontal="left" vertical="center" wrapText="1"/>
    </xf>
    <xf numFmtId="0" fontId="55" fillId="0" borderId="18" xfId="0" applyFont="1" applyBorder="1" applyAlignment="1">
      <alignment horizontal="left" vertical="center" wrapText="1"/>
    </xf>
    <xf numFmtId="0" fontId="55" fillId="0" borderId="29" xfId="0" applyFont="1" applyBorder="1" applyAlignment="1">
      <alignment horizontal="left" vertical="center" wrapText="1"/>
    </xf>
    <xf numFmtId="0" fontId="48" fillId="7" borderId="27" xfId="0" applyFont="1" applyFill="1" applyBorder="1" applyAlignment="1">
      <alignment horizontal="left" vertical="center" wrapText="1"/>
    </xf>
    <xf numFmtId="0" fontId="55" fillId="0" borderId="28" xfId="0" applyFont="1" applyBorder="1" applyAlignment="1">
      <alignment horizontal="left" vertical="center" wrapText="1"/>
    </xf>
    <xf numFmtId="0" fontId="48" fillId="9" borderId="12" xfId="0" applyFont="1" applyFill="1" applyBorder="1" applyAlignment="1">
      <alignment horizontal="left" vertical="center" wrapText="1"/>
    </xf>
    <xf numFmtId="0" fontId="48" fillId="0" borderId="40" xfId="0" applyFont="1" applyBorder="1" applyAlignment="1">
      <alignment horizontal="left" vertical="center" wrapText="1"/>
    </xf>
    <xf numFmtId="0" fontId="56" fillId="0" borderId="89" xfId="0" applyFont="1" applyBorder="1" applyAlignment="1">
      <alignment horizontal="left" vertical="center" wrapText="1"/>
    </xf>
    <xf numFmtId="0" fontId="48" fillId="9" borderId="40" xfId="0" applyFont="1" applyFill="1" applyBorder="1" applyAlignment="1">
      <alignment horizontal="left" vertical="center" wrapText="1"/>
    </xf>
    <xf numFmtId="0" fontId="49" fillId="0" borderId="40" xfId="0" applyFont="1" applyBorder="1" applyAlignment="1">
      <alignment horizontal="left" vertical="center" wrapText="1"/>
    </xf>
    <xf numFmtId="0" fontId="54" fillId="0" borderId="40" xfId="0" applyFont="1" applyBorder="1" applyAlignment="1">
      <alignment horizontal="left" vertical="center" wrapText="1"/>
    </xf>
    <xf numFmtId="2" fontId="48" fillId="0" borderId="40" xfId="0" applyNumberFormat="1" applyFont="1" applyBorder="1" applyAlignment="1">
      <alignment horizontal="left" vertical="center" wrapText="1"/>
    </xf>
    <xf numFmtId="2" fontId="48" fillId="0" borderId="13" xfId="0" applyNumberFormat="1" applyFont="1" applyBorder="1" applyAlignment="1">
      <alignment horizontal="left" vertical="center" wrapText="1"/>
    </xf>
    <xf numFmtId="0" fontId="48" fillId="0" borderId="13" xfId="0" applyFont="1" applyBorder="1" applyAlignment="1">
      <alignment horizontal="left" vertical="center" wrapText="1"/>
    </xf>
    <xf numFmtId="0" fontId="48" fillId="7" borderId="13" xfId="0" applyFont="1" applyFill="1" applyBorder="1" applyAlignment="1">
      <alignment horizontal="left" vertical="center" wrapText="1"/>
    </xf>
    <xf numFmtId="0" fontId="55" fillId="0" borderId="13" xfId="0" applyFont="1" applyBorder="1" applyAlignment="1">
      <alignment horizontal="left" vertical="center" wrapText="1"/>
    </xf>
    <xf numFmtId="0" fontId="55" fillId="0" borderId="19" xfId="0" applyFont="1" applyBorder="1" applyAlignment="1">
      <alignment horizontal="left" vertical="center" wrapText="1"/>
    </xf>
    <xf numFmtId="0" fontId="56" fillId="0" borderId="157" xfId="0" applyFont="1" applyBorder="1" applyAlignment="1">
      <alignment horizontal="left" vertical="center" wrapText="1"/>
    </xf>
    <xf numFmtId="0" fontId="48" fillId="9" borderId="18" xfId="0" applyFont="1" applyFill="1" applyBorder="1" applyAlignment="1">
      <alignment horizontal="left" vertical="center" wrapText="1"/>
    </xf>
    <xf numFmtId="0" fontId="55" fillId="9" borderId="69" xfId="0" applyFont="1" applyFill="1" applyBorder="1" applyAlignment="1">
      <alignment horizontal="left" vertical="center" wrapText="1"/>
    </xf>
    <xf numFmtId="0" fontId="55" fillId="0" borderId="24" xfId="0" applyFont="1" applyBorder="1" applyAlignment="1">
      <alignment horizontal="left" vertical="center" wrapText="1"/>
    </xf>
    <xf numFmtId="0" fontId="56" fillId="0" borderId="99" xfId="0" applyFont="1" applyBorder="1" applyAlignment="1">
      <alignment horizontal="left" vertical="center" wrapText="1"/>
    </xf>
    <xf numFmtId="0" fontId="55" fillId="0" borderId="30" xfId="0" applyFont="1" applyBorder="1" applyAlignment="1">
      <alignment horizontal="left" vertical="center" wrapText="1"/>
    </xf>
    <xf numFmtId="2" fontId="55" fillId="0" borderId="30" xfId="0" applyNumberFormat="1" applyFont="1" applyBorder="1" applyAlignment="1">
      <alignment horizontal="left" vertical="center" wrapText="1"/>
    </xf>
    <xf numFmtId="2" fontId="55" fillId="0" borderId="27" xfId="0" applyNumberFormat="1" applyFont="1" applyBorder="1" applyAlignment="1">
      <alignment horizontal="left" vertical="center" wrapText="1"/>
    </xf>
    <xf numFmtId="0" fontId="56" fillId="0" borderId="18" xfId="0" applyFont="1" applyBorder="1" applyAlignment="1">
      <alignment horizontal="left" vertical="center" wrapText="1"/>
    </xf>
    <xf numFmtId="0" fontId="55" fillId="9" borderId="8" xfId="0" applyFont="1" applyFill="1" applyBorder="1" applyAlignment="1">
      <alignment horizontal="left" vertical="center" wrapText="1"/>
    </xf>
    <xf numFmtId="0" fontId="56" fillId="0" borderId="27" xfId="0" applyFont="1" applyBorder="1" applyAlignment="1">
      <alignment horizontal="left" wrapText="1" readingOrder="1"/>
    </xf>
    <xf numFmtId="0" fontId="55" fillId="9" borderId="27" xfId="0" applyFont="1" applyFill="1" applyBorder="1" applyAlignment="1">
      <alignment horizontal="left" vertical="center" wrapText="1"/>
    </xf>
    <xf numFmtId="0" fontId="49" fillId="0" borderId="27" xfId="0" applyFont="1" applyBorder="1" applyAlignment="1">
      <alignment horizontal="left" vertical="center" wrapText="1"/>
    </xf>
    <xf numFmtId="0" fontId="55" fillId="9" borderId="183" xfId="0" applyFont="1" applyFill="1" applyBorder="1" applyAlignment="1">
      <alignment horizontal="left" vertical="center" wrapText="1"/>
    </xf>
    <xf numFmtId="0" fontId="55" fillId="0" borderId="52" xfId="0" applyFont="1" applyBorder="1" applyAlignment="1">
      <alignment horizontal="left" vertical="center" wrapText="1"/>
    </xf>
    <xf numFmtId="0" fontId="55" fillId="0" borderId="2" xfId="0" applyFont="1" applyBorder="1" applyAlignment="1">
      <alignment horizontal="left" vertical="center" wrapText="1"/>
    </xf>
    <xf numFmtId="0" fontId="56" fillId="0" borderId="160" xfId="0" applyFont="1" applyBorder="1" applyAlignment="1">
      <alignment horizontal="left" wrapText="1" readingOrder="1"/>
    </xf>
    <xf numFmtId="0" fontId="55" fillId="9" borderId="18" xfId="0" applyFont="1" applyFill="1" applyBorder="1" applyAlignment="1">
      <alignment horizontal="left" vertical="center" wrapText="1"/>
    </xf>
    <xf numFmtId="0" fontId="49" fillId="0" borderId="2" xfId="0" applyFont="1" applyBorder="1" applyAlignment="1">
      <alignment horizontal="left" vertical="center" wrapText="1"/>
    </xf>
    <xf numFmtId="0" fontId="48" fillId="0" borderId="55" xfId="0" applyFont="1" applyBorder="1" applyAlignment="1">
      <alignment horizontal="left" vertical="center" wrapText="1"/>
    </xf>
    <xf numFmtId="0" fontId="32" fillId="9" borderId="8" xfId="0" applyFont="1" applyFill="1" applyBorder="1" applyAlignment="1">
      <alignment horizontal="left" vertical="center" wrapText="1"/>
    </xf>
    <xf numFmtId="0" fontId="57" fillId="0" borderId="6" xfId="0" applyFont="1" applyBorder="1" applyAlignment="1">
      <alignment horizontal="left" vertical="center" wrapText="1"/>
    </xf>
    <xf numFmtId="0" fontId="8" fillId="9" borderId="6" xfId="0" applyFont="1" applyFill="1" applyBorder="1" applyAlignment="1">
      <alignment horizontal="left" vertical="center" wrapText="1"/>
    </xf>
    <xf numFmtId="2" fontId="8" fillId="15" borderId="6" xfId="0" applyNumberFormat="1" applyFont="1" applyFill="1" applyBorder="1" applyAlignment="1">
      <alignment horizontal="right" vertical="center" wrapText="1"/>
    </xf>
    <xf numFmtId="0" fontId="8" fillId="9" borderId="8" xfId="0" applyFont="1" applyFill="1" applyBorder="1" applyAlignment="1">
      <alignment horizontal="left" vertical="center" wrapText="1"/>
    </xf>
    <xf numFmtId="0" fontId="10" fillId="22" borderId="159" xfId="0" applyFont="1" applyFill="1" applyBorder="1" applyAlignment="1">
      <alignment horizontal="left" vertical="center" wrapText="1"/>
    </xf>
    <xf numFmtId="0" fontId="10" fillId="22" borderId="194" xfId="0" applyFont="1" applyFill="1" applyBorder="1" applyAlignment="1">
      <alignment horizontal="left" vertical="center" wrapText="1"/>
    </xf>
    <xf numFmtId="0" fontId="23" fillId="9" borderId="26" xfId="0" applyFont="1" applyFill="1" applyBorder="1" applyAlignment="1">
      <alignment horizontal="left" vertical="center" wrapText="1"/>
    </xf>
    <xf numFmtId="0" fontId="8" fillId="0" borderId="27" xfId="0" applyFont="1" applyBorder="1" applyAlignment="1">
      <alignment horizontal="left" vertical="center" wrapText="1"/>
    </xf>
    <xf numFmtId="0" fontId="10" fillId="0" borderId="27" xfId="0" applyFont="1" applyBorder="1" applyAlignment="1">
      <alignment horizontal="left" vertical="center" wrapText="1"/>
    </xf>
    <xf numFmtId="0" fontId="8" fillId="9" borderId="27" xfId="0" applyFont="1" applyFill="1" applyBorder="1" applyAlignment="1">
      <alignment horizontal="left" vertical="center" wrapText="1"/>
    </xf>
    <xf numFmtId="0" fontId="8" fillId="16" borderId="17" xfId="0" applyFont="1" applyFill="1" applyBorder="1" applyAlignment="1">
      <alignment horizontal="left" vertical="center" wrapText="1"/>
    </xf>
    <xf numFmtId="0" fontId="55" fillId="14" borderId="69" xfId="0" applyFont="1" applyFill="1" applyBorder="1" applyAlignment="1">
      <alignment horizontal="left" vertical="center" wrapText="1"/>
    </xf>
    <xf numFmtId="0" fontId="55" fillId="0" borderId="210" xfId="0" applyFont="1" applyBorder="1" applyAlignment="1">
      <alignment horizontal="left" vertical="center" wrapText="1"/>
    </xf>
    <xf numFmtId="0" fontId="55" fillId="14" borderId="67" xfId="0" applyFont="1" applyFill="1" applyBorder="1" applyAlignment="1">
      <alignment horizontal="left" vertical="center" wrapText="1"/>
    </xf>
    <xf numFmtId="0" fontId="55" fillId="0" borderId="5" xfId="0" applyFont="1" applyBorder="1" applyAlignment="1">
      <alignment horizontal="left" vertical="center" wrapText="1"/>
    </xf>
    <xf numFmtId="0" fontId="54" fillId="0" borderId="6" xfId="0" applyFont="1" applyBorder="1" applyAlignment="1">
      <alignment horizontal="left" vertical="center" wrapText="1"/>
    </xf>
    <xf numFmtId="2" fontId="58" fillId="0" borderId="17" xfId="0" applyNumberFormat="1" applyFont="1" applyBorder="1" applyAlignment="1">
      <alignment horizontal="left" vertical="center" wrapText="1"/>
    </xf>
    <xf numFmtId="2" fontId="58" fillId="0" borderId="6" xfId="0" applyNumberFormat="1" applyFont="1" applyBorder="1" applyAlignment="1">
      <alignment horizontal="left" vertical="center" wrapText="1"/>
    </xf>
    <xf numFmtId="2" fontId="55" fillId="0" borderId="55" xfId="0" applyNumberFormat="1" applyFont="1" applyBorder="1" applyAlignment="1">
      <alignment horizontal="left" vertical="center" wrapText="1"/>
    </xf>
    <xf numFmtId="2" fontId="55" fillId="0" borderId="18" xfId="0" applyNumberFormat="1" applyFont="1" applyBorder="1" applyAlignment="1">
      <alignment horizontal="left" vertical="center" wrapText="1"/>
    </xf>
    <xf numFmtId="2" fontId="32" fillId="0" borderId="6" xfId="0" applyNumberFormat="1" applyFont="1" applyBorder="1" applyAlignment="1">
      <alignment horizontal="left" vertical="center" wrapText="1"/>
    </xf>
    <xf numFmtId="2" fontId="55" fillId="0" borderId="16" xfId="0" applyNumberFormat="1" applyFont="1" applyBorder="1" applyAlignment="1">
      <alignment horizontal="left" vertical="center" wrapText="1"/>
    </xf>
    <xf numFmtId="2" fontId="55" fillId="0" borderId="23" xfId="0" applyNumberFormat="1" applyFont="1" applyBorder="1" applyAlignment="1">
      <alignment horizontal="left" vertical="center" wrapText="1"/>
    </xf>
    <xf numFmtId="2" fontId="55" fillId="0" borderId="47" xfId="0" applyNumberFormat="1" applyFont="1" applyBorder="1" applyAlignment="1">
      <alignment horizontal="left" vertical="center" wrapText="1"/>
    </xf>
    <xf numFmtId="2" fontId="55" fillId="0" borderId="177" xfId="0" applyNumberFormat="1" applyFont="1" applyBorder="1" applyAlignment="1">
      <alignment horizontal="left" vertical="center" wrapText="1"/>
    </xf>
    <xf numFmtId="2" fontId="32" fillId="0" borderId="0" xfId="0" applyNumberFormat="1" applyFont="1" applyAlignment="1">
      <alignment horizontal="left" vertical="center" wrapText="1"/>
    </xf>
    <xf numFmtId="0" fontId="60" fillId="0" borderId="6" xfId="0" applyFont="1" applyBorder="1" applyAlignment="1">
      <alignment horizontal="left" vertical="center" wrapText="1"/>
    </xf>
    <xf numFmtId="0" fontId="59" fillId="0" borderId="17" xfId="0" applyFont="1" applyBorder="1" applyAlignment="1">
      <alignment horizontal="left" vertical="center" wrapText="1"/>
    </xf>
    <xf numFmtId="2" fontId="59" fillId="0" borderId="17" xfId="0" applyNumberFormat="1" applyFont="1" applyBorder="1" applyAlignment="1">
      <alignment horizontal="left" vertical="center" wrapText="1"/>
    </xf>
    <xf numFmtId="0" fontId="48" fillId="0" borderId="23" xfId="0" applyFont="1" applyBorder="1" applyAlignment="1">
      <alignment horizontal="left" vertical="center" wrapText="1"/>
    </xf>
    <xf numFmtId="0" fontId="55" fillId="0" borderId="14" xfId="0" applyFont="1" applyBorder="1" applyAlignment="1">
      <alignment wrapText="1"/>
    </xf>
    <xf numFmtId="2" fontId="59" fillId="0" borderId="6" xfId="0" applyNumberFormat="1" applyFont="1" applyBorder="1" applyAlignment="1">
      <alignment horizontal="left" vertical="center" wrapText="1"/>
    </xf>
    <xf numFmtId="0" fontId="32" fillId="7" borderId="6" xfId="0" applyFont="1" applyFill="1" applyBorder="1"/>
    <xf numFmtId="0" fontId="58" fillId="0" borderId="17" xfId="0" applyFont="1" applyBorder="1" applyAlignment="1">
      <alignment horizontal="left" vertical="center" wrapText="1"/>
    </xf>
    <xf numFmtId="0" fontId="0" fillId="7" borderId="6" xfId="0" applyFill="1" applyBorder="1" applyAlignment="1">
      <alignment vertical="center"/>
    </xf>
    <xf numFmtId="167" fontId="8" fillId="0" borderId="6" xfId="11" applyNumberFormat="1" applyFont="1" applyBorder="1" applyAlignment="1">
      <alignment horizontal="right" vertical="center" wrapText="1"/>
    </xf>
    <xf numFmtId="2" fontId="48" fillId="0" borderId="14" xfId="0" applyNumberFormat="1" applyFont="1" applyBorder="1" applyAlignment="1">
      <alignment horizontal="left" vertical="center" wrapText="1"/>
    </xf>
    <xf numFmtId="2" fontId="55" fillId="0" borderId="25" xfId="0" applyNumberFormat="1" applyFont="1" applyBorder="1" applyAlignment="1">
      <alignment horizontal="left" vertical="center" wrapText="1"/>
    </xf>
    <xf numFmtId="167" fontId="8" fillId="0" borderId="23" xfId="11" applyNumberFormat="1" applyFont="1" applyBorder="1" applyAlignment="1">
      <alignment horizontal="right" vertical="center" wrapText="1"/>
    </xf>
    <xf numFmtId="0" fontId="8" fillId="0" borderId="0" xfId="9" applyFont="1" applyAlignment="1">
      <alignment horizontal="left" vertical="center" wrapText="1"/>
    </xf>
    <xf numFmtId="1" fontId="8" fillId="0" borderId="0" xfId="9" applyNumberFormat="1" applyFont="1" applyAlignment="1">
      <alignment horizontal="left" vertical="center" wrapText="1"/>
    </xf>
    <xf numFmtId="2" fontId="8" fillId="0" borderId="0" xfId="9" applyNumberFormat="1" applyFont="1" applyAlignment="1">
      <alignment horizontal="left" vertical="center"/>
    </xf>
    <xf numFmtId="2" fontId="8" fillId="0" borderId="0" xfId="9" applyNumberFormat="1" applyFont="1" applyAlignment="1">
      <alignment horizontal="left" vertical="center" wrapText="1"/>
    </xf>
    <xf numFmtId="166" fontId="8" fillId="0" borderId="0" xfId="9" applyNumberFormat="1" applyFont="1" applyAlignment="1">
      <alignment horizontal="left" vertical="center"/>
    </xf>
    <xf numFmtId="166" fontId="8" fillId="0" borderId="0" xfId="9" applyNumberFormat="1" applyFont="1" applyAlignment="1">
      <alignment horizontal="left" vertical="center" wrapText="1"/>
    </xf>
    <xf numFmtId="0" fontId="20" fillId="0" borderId="0" xfId="0" applyFont="1" applyAlignment="1">
      <alignment horizontal="left" vertical="center" wrapText="1"/>
    </xf>
    <xf numFmtId="0" fontId="21" fillId="50" borderId="20" xfId="0" applyFont="1" applyFill="1" applyBorder="1" applyAlignment="1">
      <alignment horizontal="left" vertical="center" wrapText="1"/>
    </xf>
    <xf numFmtId="1" fontId="20" fillId="38" borderId="113" xfId="1" applyNumberFormat="1" applyFont="1" applyFill="1" applyBorder="1" applyAlignment="1">
      <alignment horizontal="left" vertical="center" wrapText="1"/>
    </xf>
    <xf numFmtId="1" fontId="20" fillId="38" borderId="41" xfId="1" applyNumberFormat="1" applyFont="1" applyFill="1" applyBorder="1" applyAlignment="1">
      <alignment horizontal="left" vertical="center" wrapText="1"/>
    </xf>
    <xf numFmtId="1" fontId="20" fillId="38" borderId="74" xfId="1" applyNumberFormat="1" applyFont="1" applyFill="1" applyBorder="1" applyAlignment="1">
      <alignment horizontal="right" vertical="center" wrapText="1"/>
    </xf>
    <xf numFmtId="0" fontId="20" fillId="6" borderId="113" xfId="0" applyFont="1" applyFill="1" applyBorder="1" applyAlignment="1">
      <alignment wrapText="1"/>
    </xf>
    <xf numFmtId="0" fontId="20" fillId="6" borderId="187" xfId="0" applyFont="1" applyFill="1" applyBorder="1" applyAlignment="1">
      <alignment wrapText="1"/>
    </xf>
    <xf numFmtId="0" fontId="20" fillId="38" borderId="71" xfId="0" applyFont="1" applyFill="1" applyBorder="1" applyAlignment="1">
      <alignment horizontal="left" vertical="center" wrapText="1"/>
    </xf>
    <xf numFmtId="0" fontId="20" fillId="38" borderId="42" xfId="0" applyFont="1" applyFill="1" applyBorder="1" applyAlignment="1">
      <alignment horizontal="left" vertical="center" wrapText="1"/>
    </xf>
    <xf numFmtId="0" fontId="20" fillId="38" borderId="81" xfId="0" applyFont="1" applyFill="1" applyBorder="1" applyAlignment="1">
      <alignment horizontal="right" vertical="center" wrapText="1"/>
    </xf>
    <xf numFmtId="2" fontId="20" fillId="9" borderId="71" xfId="0" applyNumberFormat="1" applyFont="1" applyFill="1" applyBorder="1" applyAlignment="1">
      <alignment horizontal="right" vertical="center" wrapText="1"/>
    </xf>
    <xf numFmtId="0" fontId="20" fillId="6" borderId="71" xfId="0" applyFont="1" applyFill="1" applyBorder="1" applyAlignment="1">
      <alignment wrapText="1"/>
    </xf>
    <xf numFmtId="0" fontId="20" fillId="38" borderId="72" xfId="0" applyFont="1" applyFill="1" applyBorder="1" applyAlignment="1">
      <alignment horizontal="left" vertical="center" wrapText="1"/>
    </xf>
    <xf numFmtId="0" fontId="20" fillId="38" borderId="75" xfId="0" applyFont="1" applyFill="1" applyBorder="1" applyAlignment="1">
      <alignment horizontal="right" vertical="center" wrapText="1"/>
    </xf>
    <xf numFmtId="0" fontId="20" fillId="38" borderId="116" xfId="0" applyFont="1" applyFill="1" applyBorder="1" applyAlignment="1">
      <alignment horizontal="left" vertical="center" wrapText="1"/>
    </xf>
    <xf numFmtId="0" fontId="20" fillId="6" borderId="207" xfId="0" applyFont="1" applyFill="1" applyBorder="1" applyAlignment="1">
      <alignment wrapText="1"/>
    </xf>
    <xf numFmtId="0" fontId="20" fillId="6" borderId="208" xfId="0" applyFont="1" applyFill="1" applyBorder="1" applyAlignment="1">
      <alignment wrapText="1"/>
    </xf>
    <xf numFmtId="0" fontId="8" fillId="0" borderId="0" xfId="0" applyFont="1" applyAlignment="1">
      <alignment horizontal="left" vertical="center"/>
    </xf>
    <xf numFmtId="0" fontId="8" fillId="38" borderId="113" xfId="0" applyFont="1" applyFill="1" applyBorder="1" applyAlignment="1">
      <alignment horizontal="left" vertical="center" wrapText="1"/>
    </xf>
    <xf numFmtId="0" fontId="8" fillId="38" borderId="41" xfId="0" applyFont="1" applyFill="1" applyBorder="1" applyAlignment="1">
      <alignment horizontal="left" vertical="center" wrapText="1"/>
    </xf>
    <xf numFmtId="0" fontId="8" fillId="38" borderId="74" xfId="0" applyFont="1" applyFill="1" applyBorder="1" applyAlignment="1">
      <alignment horizontal="right" vertical="center" wrapText="1"/>
    </xf>
    <xf numFmtId="0" fontId="8" fillId="6" borderId="113" xfId="0" applyFont="1" applyFill="1" applyBorder="1" applyAlignment="1">
      <alignment wrapText="1"/>
    </xf>
    <xf numFmtId="2" fontId="8" fillId="19" borderId="41" xfId="0" applyNumberFormat="1" applyFont="1" applyFill="1" applyBorder="1" applyAlignment="1">
      <alignment horizontal="right" vertical="center" wrapText="1"/>
    </xf>
    <xf numFmtId="0" fontId="8" fillId="6" borderId="71" xfId="0" applyFont="1" applyFill="1" applyBorder="1" applyAlignment="1">
      <alignment wrapText="1"/>
    </xf>
    <xf numFmtId="0" fontId="8" fillId="38" borderId="72" xfId="0" applyFont="1" applyFill="1" applyBorder="1" applyAlignment="1">
      <alignment horizontal="left" vertical="center" wrapText="1"/>
    </xf>
    <xf numFmtId="0" fontId="8" fillId="38" borderId="75" xfId="0" applyFont="1" applyFill="1" applyBorder="1" applyAlignment="1">
      <alignment horizontal="right" vertical="center" wrapText="1"/>
    </xf>
    <xf numFmtId="0" fontId="8" fillId="6" borderId="209" xfId="0" applyFont="1" applyFill="1" applyBorder="1" applyAlignment="1">
      <alignment wrapText="1"/>
    </xf>
    <xf numFmtId="2" fontId="8" fillId="19" borderId="113" xfId="0" applyNumberFormat="1" applyFont="1" applyFill="1" applyBorder="1" applyAlignment="1">
      <alignment horizontal="right" vertical="center" wrapText="1"/>
    </xf>
    <xf numFmtId="0" fontId="8" fillId="6" borderId="154" xfId="0" applyFont="1" applyFill="1" applyBorder="1" applyAlignment="1">
      <alignment wrapText="1"/>
    </xf>
    <xf numFmtId="0" fontId="8" fillId="6" borderId="212" xfId="0" applyFont="1" applyFill="1" applyBorder="1" applyAlignment="1">
      <alignment wrapText="1"/>
    </xf>
    <xf numFmtId="0" fontId="8" fillId="6" borderId="213" xfId="0" applyFont="1" applyFill="1" applyBorder="1" applyAlignment="1">
      <alignment wrapText="1"/>
    </xf>
    <xf numFmtId="0" fontId="8" fillId="6" borderId="207" xfId="0" applyFont="1" applyFill="1" applyBorder="1" applyAlignment="1">
      <alignment wrapText="1"/>
    </xf>
    <xf numFmtId="2" fontId="8" fillId="19" borderId="116" xfId="0" applyNumberFormat="1" applyFont="1" applyFill="1" applyBorder="1" applyAlignment="1">
      <alignment horizontal="right" vertical="center" wrapText="1"/>
    </xf>
    <xf numFmtId="0" fontId="8" fillId="0" borderId="0" xfId="9" applyFont="1" applyAlignment="1">
      <alignment horizontal="left" vertical="center"/>
    </xf>
    <xf numFmtId="2" fontId="8" fillId="0" borderId="14" xfId="10" applyNumberFormat="1" applyFont="1" applyBorder="1" applyAlignment="1" applyProtection="1">
      <alignment horizontal="right" vertical="center" wrapText="1"/>
      <protection locked="0"/>
    </xf>
    <xf numFmtId="2" fontId="54" fillId="0" borderId="18" xfId="0" applyNumberFormat="1" applyFont="1" applyBorder="1" applyAlignment="1">
      <alignment horizontal="left" vertical="center" wrapText="1"/>
    </xf>
    <xf numFmtId="0" fontId="54" fillId="0" borderId="18" xfId="0" applyFont="1" applyBorder="1" applyAlignment="1">
      <alignment horizontal="left" vertical="center" wrapText="1"/>
    </xf>
    <xf numFmtId="2" fontId="54" fillId="0" borderId="22" xfId="0" applyNumberFormat="1" applyFont="1" applyBorder="1" applyAlignment="1">
      <alignment horizontal="left" vertical="center" wrapText="1"/>
    </xf>
    <xf numFmtId="2" fontId="54" fillId="0" borderId="30" xfId="0" applyNumberFormat="1" applyFont="1" applyBorder="1" applyAlignment="1">
      <alignment horizontal="left" vertical="center" wrapText="1"/>
    </xf>
    <xf numFmtId="2" fontId="54" fillId="0" borderId="40" xfId="0" applyNumberFormat="1" applyFont="1" applyBorder="1" applyAlignment="1">
      <alignment horizontal="left" vertical="center" wrapText="1"/>
    </xf>
    <xf numFmtId="0" fontId="10" fillId="0" borderId="0" xfId="12" applyFont="1" applyAlignment="1">
      <alignment horizontal="center" vertical="top" wrapText="1"/>
    </xf>
    <xf numFmtId="0" fontId="0" fillId="7" borderId="0" xfId="0" applyFill="1" applyAlignment="1">
      <alignment vertical="center" wrapText="1"/>
    </xf>
    <xf numFmtId="2" fontId="54" fillId="0" borderId="14" xfId="0" applyNumberFormat="1" applyFont="1" applyBorder="1" applyAlignment="1">
      <alignment horizontal="left" vertical="center" wrapText="1"/>
    </xf>
    <xf numFmtId="2" fontId="54" fillId="0" borderId="6" xfId="0" applyNumberFormat="1" applyFont="1" applyBorder="1" applyAlignment="1">
      <alignment horizontal="left" vertical="center" wrapText="1"/>
    </xf>
    <xf numFmtId="0" fontId="0" fillId="7" borderId="67" xfId="0" applyFill="1" applyBorder="1" applyAlignment="1">
      <alignment vertical="center" wrapText="1"/>
    </xf>
    <xf numFmtId="0" fontId="8" fillId="0" borderId="0" xfId="12" applyFont="1" applyAlignment="1">
      <alignment horizontal="left" vertical="center" wrapText="1"/>
    </xf>
    <xf numFmtId="0" fontId="8" fillId="0" borderId="0" xfId="12" applyFont="1" applyAlignment="1">
      <alignment horizontal="right" vertical="center" wrapText="1"/>
    </xf>
    <xf numFmtId="0" fontId="17" fillId="15" borderId="0" xfId="12" applyFill="1"/>
    <xf numFmtId="167" fontId="17" fillId="0" borderId="0" xfId="12" applyNumberFormat="1"/>
    <xf numFmtId="0" fontId="23" fillId="0" borderId="21" xfId="12" applyFont="1" applyBorder="1" applyAlignment="1">
      <alignment horizontal="left" vertical="center" wrapText="1"/>
    </xf>
    <xf numFmtId="0" fontId="17" fillId="0" borderId="18" xfId="12" applyBorder="1"/>
    <xf numFmtId="170" fontId="17" fillId="0" borderId="18" xfId="55" applyNumberFormat="1" applyFont="1" applyBorder="1"/>
    <xf numFmtId="165" fontId="17" fillId="0" borderId="18" xfId="12" applyNumberFormat="1" applyBorder="1"/>
    <xf numFmtId="165" fontId="17" fillId="0" borderId="29" xfId="12" applyNumberFormat="1" applyBorder="1"/>
    <xf numFmtId="0" fontId="23" fillId="0" borderId="8" xfId="12" applyFont="1" applyBorder="1" applyAlignment="1">
      <alignment horizontal="left" vertical="center" wrapText="1"/>
    </xf>
    <xf numFmtId="0" fontId="17" fillId="0" borderId="6" xfId="12" applyBorder="1"/>
    <xf numFmtId="170" fontId="17" fillId="0" borderId="6" xfId="55" applyNumberFormat="1" applyFont="1" applyBorder="1"/>
    <xf numFmtId="165" fontId="17" fillId="0" borderId="6" xfId="12" applyNumberFormat="1" applyBorder="1"/>
    <xf numFmtId="165" fontId="17" fillId="0" borderId="24" xfId="12" applyNumberFormat="1" applyBorder="1"/>
    <xf numFmtId="0" fontId="23" fillId="0" borderId="206" xfId="12" applyFont="1" applyBorder="1" applyAlignment="1">
      <alignment horizontal="left" vertical="center" wrapText="1"/>
    </xf>
    <xf numFmtId="171" fontId="17" fillId="15" borderId="6" xfId="55" applyNumberFormat="1" applyFont="1" applyFill="1" applyBorder="1"/>
    <xf numFmtId="43" fontId="17" fillId="15" borderId="6" xfId="55" applyFont="1" applyFill="1" applyBorder="1"/>
    <xf numFmtId="43" fontId="17" fillId="0" borderId="6" xfId="55" applyFont="1" applyBorder="1"/>
    <xf numFmtId="43" fontId="17" fillId="0" borderId="24" xfId="55" applyFont="1" applyBorder="1"/>
    <xf numFmtId="0" fontId="23" fillId="0" borderId="22" xfId="12" applyFont="1" applyBorder="1" applyAlignment="1">
      <alignment horizontal="left" vertical="center" wrapText="1"/>
    </xf>
    <xf numFmtId="43" fontId="17" fillId="0" borderId="18" xfId="55" applyFont="1" applyBorder="1"/>
    <xf numFmtId="43" fontId="17" fillId="0" borderId="29" xfId="55" applyFont="1" applyBorder="1"/>
    <xf numFmtId="43" fontId="17" fillId="7" borderId="27" xfId="55" applyFont="1" applyFill="1" applyBorder="1"/>
    <xf numFmtId="43" fontId="17" fillId="0" borderId="28" xfId="55" applyFont="1" applyBorder="1"/>
    <xf numFmtId="0" fontId="48" fillId="7" borderId="17" xfId="0" applyFont="1" applyFill="1" applyBorder="1" applyAlignment="1">
      <alignment horizontal="left" vertical="center" wrapText="1"/>
    </xf>
    <xf numFmtId="0" fontId="8" fillId="28" borderId="6" xfId="1" applyFont="1" applyFill="1" applyBorder="1" applyAlignment="1">
      <alignment horizontal="left" vertical="center"/>
    </xf>
    <xf numFmtId="0" fontId="30" fillId="15" borderId="0" xfId="1" applyFont="1" applyFill="1" applyAlignment="1">
      <alignment horizontal="center" vertical="center"/>
    </xf>
    <xf numFmtId="0" fontId="8" fillId="30" borderId="6" xfId="1" applyFont="1" applyFill="1" applyBorder="1" applyAlignment="1">
      <alignment horizontal="left" vertical="center" wrapText="1"/>
    </xf>
    <xf numFmtId="0" fontId="8" fillId="34" borderId="6" xfId="1" applyFont="1" applyFill="1" applyBorder="1" applyAlignment="1">
      <alignment horizontal="left" vertical="center"/>
    </xf>
    <xf numFmtId="0" fontId="8" fillId="33" borderId="6" xfId="1" applyFont="1" applyFill="1" applyBorder="1" applyAlignment="1">
      <alignment horizontal="left" vertical="center"/>
    </xf>
    <xf numFmtId="0" fontId="8" fillId="32" borderId="6" xfId="1" applyFont="1" applyFill="1" applyBorder="1" applyAlignment="1">
      <alignment horizontal="left" vertical="center"/>
    </xf>
    <xf numFmtId="0" fontId="8" fillId="39" borderId="34" xfId="1" applyFont="1" applyFill="1" applyBorder="1" applyAlignment="1">
      <alignment horizontal="left" vertical="center" wrapText="1"/>
    </xf>
    <xf numFmtId="0" fontId="8" fillId="39" borderId="23" xfId="1" applyFont="1" applyFill="1" applyBorder="1" applyAlignment="1">
      <alignment horizontal="left" vertical="center" wrapText="1"/>
    </xf>
    <xf numFmtId="0" fontId="8" fillId="0" borderId="6" xfId="1" applyFont="1" applyBorder="1" applyAlignment="1">
      <alignment horizontal="left" vertical="center" wrapText="1"/>
    </xf>
    <xf numFmtId="0" fontId="8" fillId="3" borderId="6" xfId="1" applyFont="1" applyFill="1" applyBorder="1" applyAlignment="1">
      <alignment horizontal="left" vertical="center"/>
    </xf>
    <xf numFmtId="0" fontId="8" fillId="4" borderId="6" xfId="1" applyFont="1" applyFill="1" applyBorder="1" applyAlignment="1">
      <alignment horizontal="left" vertical="center"/>
    </xf>
    <xf numFmtId="0" fontId="8" fillId="5" borderId="6" xfId="1" applyFont="1" applyFill="1" applyBorder="1" applyAlignment="1">
      <alignment horizontal="left" vertical="center"/>
    </xf>
    <xf numFmtId="0" fontId="8" fillId="15" borderId="6" xfId="1" applyFont="1" applyFill="1" applyBorder="1" applyAlignment="1">
      <alignment horizontal="left" vertical="center"/>
    </xf>
    <xf numFmtId="2" fontId="8" fillId="15" borderId="13" xfId="1" applyNumberFormat="1" applyFont="1" applyFill="1" applyBorder="1" applyAlignment="1" applyProtection="1">
      <alignment horizontal="center" vertical="center"/>
      <protection locked="0"/>
    </xf>
    <xf numFmtId="2" fontId="8" fillId="15" borderId="19" xfId="1" applyNumberFormat="1" applyFont="1" applyFill="1" applyBorder="1" applyAlignment="1" applyProtection="1">
      <alignment horizontal="center" vertical="center"/>
      <protection locked="0"/>
    </xf>
    <xf numFmtId="164" fontId="8" fillId="15" borderId="38" xfId="1" applyNumberFormat="1" applyFont="1" applyFill="1" applyBorder="1" applyAlignment="1" applyProtection="1">
      <alignment horizontal="center" vertical="center"/>
      <protection locked="0"/>
    </xf>
    <xf numFmtId="164" fontId="8" fillId="15" borderId="36" xfId="1" applyNumberFormat="1" applyFont="1" applyFill="1" applyBorder="1" applyAlignment="1" applyProtection="1">
      <alignment horizontal="center" vertical="center"/>
      <protection locked="0"/>
    </xf>
    <xf numFmtId="164" fontId="8" fillId="15" borderId="37" xfId="1" applyNumberFormat="1" applyFont="1" applyFill="1" applyBorder="1" applyAlignment="1" applyProtection="1">
      <alignment horizontal="center" vertical="center"/>
      <protection locked="0"/>
    </xf>
    <xf numFmtId="0" fontId="10" fillId="2" borderId="7" xfId="1" applyFont="1" applyFill="1" applyBorder="1" applyAlignment="1" applyProtection="1">
      <alignment horizontal="center" vertical="center"/>
      <protection locked="0"/>
    </xf>
    <xf numFmtId="14" fontId="8" fillId="0" borderId="0" xfId="1" applyNumberFormat="1" applyFont="1" applyAlignment="1" applyProtection="1">
      <alignment horizontal="center" vertical="center"/>
      <protection locked="0"/>
    </xf>
    <xf numFmtId="14" fontId="8" fillId="0" borderId="7" xfId="1" applyNumberFormat="1" applyFont="1" applyBorder="1" applyAlignment="1" applyProtection="1">
      <alignment horizontal="center" vertical="center"/>
      <protection locked="0"/>
    </xf>
    <xf numFmtId="0" fontId="10" fillId="15" borderId="4" xfId="1" applyFont="1" applyFill="1" applyBorder="1" applyAlignment="1">
      <alignment horizontal="right" vertical="center"/>
    </xf>
    <xf numFmtId="0" fontId="10" fillId="15" borderId="0" xfId="1" applyFont="1" applyFill="1" applyAlignment="1">
      <alignment horizontal="right" vertical="center"/>
    </xf>
    <xf numFmtId="0" fontId="8" fillId="15" borderId="0" xfId="1" applyFont="1" applyFill="1" applyAlignment="1">
      <alignment horizontal="center" vertical="center" wrapText="1"/>
    </xf>
    <xf numFmtId="0" fontId="6" fillId="15" borderId="0" xfId="2" applyFill="1" applyBorder="1" applyAlignment="1" applyProtection="1">
      <alignment horizontal="center" vertical="center"/>
    </xf>
    <xf numFmtId="0" fontId="27" fillId="15" borderId="0" xfId="2" applyFont="1" applyFill="1" applyBorder="1" applyAlignment="1" applyProtection="1">
      <alignment horizontal="center" vertical="center"/>
    </xf>
    <xf numFmtId="0" fontId="31" fillId="15" borderId="0" xfId="1" applyFont="1" applyFill="1" applyAlignment="1">
      <alignment horizontal="center" vertical="center"/>
    </xf>
    <xf numFmtId="0" fontId="10" fillId="15" borderId="12" xfId="1" applyFont="1" applyFill="1" applyBorder="1" applyAlignment="1">
      <alignment horizontal="left" vertical="center"/>
    </xf>
    <xf numFmtId="0" fontId="10" fillId="15" borderId="13" xfId="1" applyFont="1" applyFill="1" applyBorder="1" applyAlignment="1">
      <alignment horizontal="left" vertical="center"/>
    </xf>
    <xf numFmtId="0" fontId="6" fillId="15" borderId="10" xfId="2" applyFill="1" applyBorder="1" applyAlignment="1" applyProtection="1">
      <alignment horizontal="center" vertical="center"/>
    </xf>
    <xf numFmtId="0" fontId="49" fillId="46" borderId="35" xfId="0" applyFont="1" applyFill="1" applyBorder="1" applyAlignment="1">
      <alignment horizontal="center" vertical="center" wrapText="1"/>
    </xf>
    <xf numFmtId="0" fontId="49" fillId="46" borderId="37" xfId="0" applyFont="1" applyFill="1" applyBorder="1" applyAlignment="1">
      <alignment horizontal="center" vertical="center" wrapText="1"/>
    </xf>
    <xf numFmtId="0" fontId="21" fillId="11" borderId="137" xfId="0" applyFont="1" applyFill="1" applyBorder="1" applyAlignment="1">
      <alignment vertical="center" wrapText="1"/>
    </xf>
    <xf numFmtId="0" fontId="21" fillId="11" borderId="138" xfId="0" applyFont="1" applyFill="1" applyBorder="1" applyAlignment="1">
      <alignment vertical="center" wrapText="1"/>
    </xf>
    <xf numFmtId="0" fontId="10" fillId="0" borderId="20" xfId="12" applyFont="1" applyBorder="1" applyAlignment="1">
      <alignment horizontal="center" vertical="top" wrapText="1"/>
    </xf>
    <xf numFmtId="0" fontId="10" fillId="0" borderId="104" xfId="12" applyFont="1" applyBorder="1" applyAlignment="1">
      <alignment horizontal="center" vertical="top" wrapText="1"/>
    </xf>
    <xf numFmtId="0" fontId="10" fillId="0" borderId="196" xfId="12" applyFont="1" applyBorder="1" applyAlignment="1">
      <alignment horizontal="center" vertical="top" wrapText="1"/>
    </xf>
    <xf numFmtId="0" fontId="21" fillId="41" borderId="35" xfId="12" applyFont="1" applyFill="1" applyBorder="1" applyAlignment="1">
      <alignment horizontal="center" vertical="center" wrapText="1"/>
    </xf>
    <xf numFmtId="0" fontId="21" fillId="41" borderId="36" xfId="12" applyFont="1" applyFill="1" applyBorder="1" applyAlignment="1">
      <alignment horizontal="center" vertical="center" wrapText="1"/>
    </xf>
    <xf numFmtId="0" fontId="21" fillId="41" borderId="37" xfId="12" applyFont="1" applyFill="1" applyBorder="1" applyAlignment="1">
      <alignment horizontal="center" vertical="center" wrapText="1"/>
    </xf>
    <xf numFmtId="0" fontId="5" fillId="7" borderId="4" xfId="12" quotePrefix="1" applyFont="1" applyFill="1" applyBorder="1" applyAlignment="1">
      <alignment horizontal="center"/>
    </xf>
    <xf numFmtId="0" fontId="5" fillId="7" borderId="5" xfId="12" quotePrefix="1" applyFont="1" applyFill="1" applyBorder="1" applyAlignment="1">
      <alignment horizontal="center"/>
    </xf>
    <xf numFmtId="0" fontId="10" fillId="24" borderId="137" xfId="1" applyFont="1" applyFill="1" applyBorder="1" applyAlignment="1" applyProtection="1">
      <alignment horizontal="center" vertical="center" wrapText="1"/>
      <protection locked="0"/>
    </xf>
    <xf numFmtId="0" fontId="10" fillId="24" borderId="198" xfId="1" applyFont="1" applyFill="1" applyBorder="1" applyAlignment="1" applyProtection="1">
      <alignment horizontal="center" vertical="center" wrapText="1"/>
      <protection locked="0"/>
    </xf>
    <xf numFmtId="0" fontId="10" fillId="24" borderId="35" xfId="1" applyFont="1" applyFill="1" applyBorder="1" applyAlignment="1" applyProtection="1">
      <alignment horizontal="center" vertical="center" wrapText="1"/>
      <protection locked="0"/>
    </xf>
    <xf numFmtId="0" fontId="10" fillId="24" borderId="37" xfId="1" applyFont="1" applyFill="1" applyBorder="1" applyAlignment="1" applyProtection="1">
      <alignment horizontal="center" vertical="center" wrapText="1"/>
      <protection locked="0"/>
    </xf>
    <xf numFmtId="0" fontId="10" fillId="0" borderId="3" xfId="12" applyFont="1" applyBorder="1" applyAlignment="1">
      <alignment horizontal="center" vertical="top" wrapText="1"/>
    </xf>
    <xf numFmtId="0" fontId="10" fillId="0" borderId="5" xfId="12" applyFont="1" applyBorder="1" applyAlignment="1">
      <alignment horizontal="center" vertical="top" wrapText="1"/>
    </xf>
    <xf numFmtId="0" fontId="39" fillId="7" borderId="4" xfId="12" applyFont="1" applyFill="1" applyBorder="1" applyAlignment="1">
      <alignment horizontal="center"/>
    </xf>
    <xf numFmtId="0" fontId="39" fillId="7" borderId="5" xfId="12" applyFont="1" applyFill="1" applyBorder="1" applyAlignment="1">
      <alignment horizontal="center"/>
    </xf>
    <xf numFmtId="0" fontId="43" fillId="7" borderId="184" xfId="12" applyFont="1" applyFill="1" applyBorder="1" applyAlignment="1">
      <alignment horizontal="left" vertical="center" wrapText="1"/>
    </xf>
    <xf numFmtId="0" fontId="43" fillId="7" borderId="199" xfId="12" applyFont="1" applyFill="1" applyBorder="1" applyAlignment="1">
      <alignment horizontal="left" vertical="center" wrapText="1"/>
    </xf>
    <xf numFmtId="0" fontId="43" fillId="7" borderId="200" xfId="12" applyFont="1" applyFill="1" applyBorder="1" applyAlignment="1">
      <alignment horizontal="left" vertical="center" wrapText="1"/>
    </xf>
    <xf numFmtId="0" fontId="43" fillId="7" borderId="201" xfId="12" applyFont="1" applyFill="1" applyBorder="1" applyAlignment="1">
      <alignment horizontal="left" vertical="center" wrapText="1"/>
    </xf>
    <xf numFmtId="0" fontId="43" fillId="7" borderId="0" xfId="12" applyFont="1" applyFill="1" applyAlignment="1">
      <alignment horizontal="left" vertical="center" wrapText="1"/>
    </xf>
    <xf numFmtId="0" fontId="43" fillId="7" borderId="202" xfId="12" applyFont="1" applyFill="1" applyBorder="1" applyAlignment="1">
      <alignment horizontal="left" vertical="center" wrapText="1"/>
    </xf>
    <xf numFmtId="0" fontId="43" fillId="7" borderId="203" xfId="12" applyFont="1" applyFill="1" applyBorder="1" applyAlignment="1">
      <alignment horizontal="left" vertical="center" wrapText="1"/>
    </xf>
    <xf numFmtId="0" fontId="43" fillId="7" borderId="197" xfId="12" applyFont="1" applyFill="1" applyBorder="1" applyAlignment="1">
      <alignment horizontal="left" vertical="center" wrapText="1"/>
    </xf>
    <xf numFmtId="0" fontId="43" fillId="7" borderId="204" xfId="12" applyFont="1" applyFill="1" applyBorder="1" applyAlignment="1">
      <alignment horizontal="left" vertical="center" wrapText="1"/>
    </xf>
    <xf numFmtId="0" fontId="42" fillId="48" borderId="1" xfId="12" applyFont="1" applyFill="1" applyBorder="1" applyAlignment="1">
      <alignment horizontal="center"/>
    </xf>
    <xf numFmtId="0" fontId="42" fillId="48" borderId="3" xfId="12" applyFont="1" applyFill="1" applyBorder="1" applyAlignment="1">
      <alignment horizontal="center"/>
    </xf>
    <xf numFmtId="0" fontId="45" fillId="7" borderId="4" xfId="12" applyFont="1" applyFill="1" applyBorder="1" applyAlignment="1">
      <alignment horizontal="center"/>
    </xf>
    <xf numFmtId="0" fontId="45" fillId="7" borderId="5" xfId="12" applyFont="1" applyFill="1" applyBorder="1" applyAlignment="1">
      <alignment horizontal="center"/>
    </xf>
    <xf numFmtId="0" fontId="39" fillId="7" borderId="4" xfId="12" quotePrefix="1" applyFont="1" applyFill="1" applyBorder="1" applyAlignment="1">
      <alignment horizontal="center"/>
    </xf>
    <xf numFmtId="0" fontId="39" fillId="7" borderId="5" xfId="12" quotePrefix="1" applyFont="1" applyFill="1" applyBorder="1" applyAlignment="1">
      <alignment horizontal="center"/>
    </xf>
    <xf numFmtId="0" fontId="5" fillId="7" borderId="4" xfId="12" applyFont="1" applyFill="1" applyBorder="1" applyAlignment="1">
      <alignment horizontal="center"/>
    </xf>
    <xf numFmtId="0" fontId="5" fillId="7" borderId="5" xfId="12" applyFont="1" applyFill="1" applyBorder="1" applyAlignment="1">
      <alignment horizontal="center"/>
    </xf>
    <xf numFmtId="0" fontId="21" fillId="15" borderId="106" xfId="0" applyFont="1" applyFill="1" applyBorder="1" applyAlignment="1">
      <alignment horizontal="left" vertical="center" wrapText="1"/>
    </xf>
    <xf numFmtId="0" fontId="21" fillId="15" borderId="107" xfId="0" applyFont="1" applyFill="1" applyBorder="1" applyAlignment="1">
      <alignment horizontal="left" vertical="center" wrapText="1"/>
    </xf>
    <xf numFmtId="0" fontId="21" fillId="15" borderId="108" xfId="0" applyFont="1" applyFill="1" applyBorder="1" applyAlignment="1">
      <alignment horizontal="left" vertical="center" wrapText="1"/>
    </xf>
    <xf numFmtId="0" fontId="44" fillId="0" borderId="35" xfId="0" applyFont="1" applyBorder="1" applyAlignment="1">
      <alignment horizontal="center" vertical="center" wrapText="1"/>
    </xf>
    <xf numFmtId="0" fontId="36" fillId="0" borderId="36" xfId="0" applyFont="1" applyBorder="1" applyAlignment="1">
      <alignment horizontal="center" vertical="center"/>
    </xf>
    <xf numFmtId="0" fontId="36" fillId="0" borderId="37" xfId="0" applyFont="1" applyBorder="1" applyAlignment="1">
      <alignment horizontal="center" vertical="center"/>
    </xf>
    <xf numFmtId="0" fontId="8" fillId="14" borderId="98" xfId="0" applyFont="1" applyFill="1" applyBorder="1" applyAlignment="1">
      <alignment horizontal="center" vertical="center" wrapText="1"/>
    </xf>
    <xf numFmtId="0" fontId="8" fillId="14" borderId="195" xfId="0" applyFont="1" applyFill="1" applyBorder="1" applyAlignment="1">
      <alignment horizontal="center" vertical="center" wrapText="1"/>
    </xf>
    <xf numFmtId="0" fontId="18" fillId="24" borderId="9" xfId="0" applyFont="1" applyFill="1" applyBorder="1" applyAlignment="1">
      <alignment horizontal="center" vertical="center"/>
    </xf>
    <xf numFmtId="0" fontId="18" fillId="24" borderId="10" xfId="0" applyFont="1" applyFill="1" applyBorder="1" applyAlignment="1">
      <alignment horizontal="center" vertical="center"/>
    </xf>
    <xf numFmtId="0" fontId="18" fillId="15" borderId="91" xfId="0" applyFont="1" applyFill="1" applyBorder="1" applyAlignment="1">
      <alignment horizontal="center" vertical="center" wrapText="1"/>
    </xf>
    <xf numFmtId="0" fontId="18" fillId="15" borderId="122" xfId="0" applyFont="1" applyFill="1" applyBorder="1" applyAlignment="1">
      <alignment horizontal="center" vertical="center" wrapText="1"/>
    </xf>
    <xf numFmtId="0" fontId="8" fillId="14" borderId="126" xfId="0" applyFont="1" applyFill="1" applyBorder="1" applyAlignment="1">
      <alignment horizontal="center" vertical="center" wrapText="1"/>
    </xf>
    <xf numFmtId="0" fontId="8" fillId="14" borderId="169" xfId="0" applyFont="1" applyFill="1" applyBorder="1" applyAlignment="1">
      <alignment horizontal="center" vertical="center" wrapText="1"/>
    </xf>
    <xf numFmtId="0" fontId="8" fillId="14" borderId="46" xfId="0" applyFont="1" applyFill="1" applyBorder="1" applyAlignment="1">
      <alignment horizontal="center" vertical="center" wrapText="1"/>
    </xf>
    <xf numFmtId="0" fontId="8" fillId="14" borderId="113" xfId="0" applyFont="1" applyFill="1" applyBorder="1" applyAlignment="1">
      <alignment horizontal="center" vertical="center" wrapText="1"/>
    </xf>
    <xf numFmtId="0" fontId="17" fillId="0" borderId="91"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91" xfId="0" applyFont="1" applyBorder="1" applyAlignment="1">
      <alignment horizontal="left" vertical="center" wrapText="1"/>
    </xf>
    <xf numFmtId="0" fontId="17" fillId="0" borderId="36" xfId="0" applyFont="1" applyBorder="1" applyAlignment="1">
      <alignment horizontal="left" vertical="center"/>
    </xf>
    <xf numFmtId="0" fontId="17" fillId="0" borderId="37" xfId="0" applyFont="1" applyBorder="1" applyAlignment="1">
      <alignment horizontal="left" vertical="center"/>
    </xf>
    <xf numFmtId="0" fontId="10" fillId="24" borderId="36" xfId="1" applyFont="1" applyFill="1" applyBorder="1" applyAlignment="1" applyProtection="1">
      <alignment horizontal="center" vertical="center" wrapText="1"/>
      <protection locked="0"/>
    </xf>
  </cellXfs>
  <cellStyles count="62">
    <cellStyle name="Comma" xfId="55" builtinId="3"/>
    <cellStyle name="Comma 2" xfId="50" xr:uid="{042F09F3-AF5B-4674-92D6-78A1483F4E92}"/>
    <cellStyle name="Comma 3" xfId="47" xr:uid="{4366B816-8F88-4BEC-BA96-484C1C992D5A}"/>
    <cellStyle name="Comma 4" xfId="57" xr:uid="{617EB9AD-043D-448C-8086-37688E35CAC5}"/>
    <cellStyle name="Currency 2" xfId="51" xr:uid="{FF20726C-E2A1-4634-A9DC-E880E52180BD}"/>
    <cellStyle name="Currency 2 2" xfId="59" xr:uid="{4607B7CD-B460-4BE4-9ECF-B3BAB00F56DA}"/>
    <cellStyle name="Currency 3" xfId="49" xr:uid="{666B286F-5952-4422-9714-4506A627A933}"/>
    <cellStyle name="Currency 3 2" xfId="52" xr:uid="{F95FC159-60DD-44DB-BA71-EC6507EF2638}"/>
    <cellStyle name="Currency 4" xfId="48" xr:uid="{604B7A96-F09D-4674-8F9F-6B6A3D3FB724}"/>
    <cellStyle name="Currency 5" xfId="60" xr:uid="{EF8CB4B1-DAAB-43C6-B25B-B5CFB377FEC8}"/>
    <cellStyle name="Hyperlink" xfId="2" builtinId="8"/>
    <cellStyle name="Hyperlink 2" xfId="26" xr:uid="{00000000-0005-0000-0000-000001000000}"/>
    <cellStyle name="Normal" xfId="0" builtinId="0"/>
    <cellStyle name="Normal 10" xfId="46" xr:uid="{5769F1F4-4704-457E-BB04-AC4CB3F61AB4}"/>
    <cellStyle name="Normal 11" xfId="56" xr:uid="{4E032F22-D1E0-4AC9-9B46-0216CB04EDF6}"/>
    <cellStyle name="Normal 2" xfId="1" xr:uid="{00000000-0005-0000-0000-000003000000}"/>
    <cellStyle name="Normal 2 2" xfId="3" xr:uid="{00000000-0005-0000-0000-000004000000}"/>
    <cellStyle name="Normal 2 2 2" xfId="10" xr:uid="{00000000-0005-0000-0000-000005000000}"/>
    <cellStyle name="Normal 2 3" xfId="58" xr:uid="{67695117-4E40-4A87-8046-56205A5F7D0D}"/>
    <cellStyle name="Normal 3" xfId="4" xr:uid="{00000000-0005-0000-0000-000006000000}"/>
    <cellStyle name="Normal 3 2" xfId="9" xr:uid="{00000000-0005-0000-0000-000007000000}"/>
    <cellStyle name="Normal 3 2 2" xfId="12" xr:uid="{00000000-0005-0000-0000-000008000000}"/>
    <cellStyle name="Normal 3 2 2 2" xfId="32" xr:uid="{00000000-0005-0000-0000-000009000000}"/>
    <cellStyle name="Normal 3 2 8" xfId="24" xr:uid="{00000000-0005-0000-0000-00000A000000}"/>
    <cellStyle name="Normal 3 3" xfId="13" xr:uid="{00000000-0005-0000-0000-00000B000000}"/>
    <cellStyle name="Normal 3 4" xfId="27" xr:uid="{00000000-0005-0000-0000-00000C000000}"/>
    <cellStyle name="Normal 3 5" xfId="19" xr:uid="{00000000-0005-0000-0000-00000D000000}"/>
    <cellStyle name="Normal 4" xfId="5" xr:uid="{00000000-0005-0000-0000-00000E000000}"/>
    <cellStyle name="Normal 4 2" xfId="14" xr:uid="{00000000-0005-0000-0000-00000F000000}"/>
    <cellStyle name="Normal 4 3" xfId="28" xr:uid="{00000000-0005-0000-0000-000010000000}"/>
    <cellStyle name="Normal 4 4" xfId="20" xr:uid="{00000000-0005-0000-0000-000011000000}"/>
    <cellStyle name="Normal 5" xfId="6" xr:uid="{00000000-0005-0000-0000-000012000000}"/>
    <cellStyle name="Normal 5 2" xfId="15" xr:uid="{00000000-0005-0000-0000-000013000000}"/>
    <cellStyle name="Normal 5 3" xfId="29" xr:uid="{00000000-0005-0000-0000-000014000000}"/>
    <cellStyle name="Normal 5 4" xfId="21" xr:uid="{00000000-0005-0000-0000-000015000000}"/>
    <cellStyle name="Normal 6" xfId="7" xr:uid="{00000000-0005-0000-0000-000016000000}"/>
    <cellStyle name="Normal 6 2" xfId="16" xr:uid="{00000000-0005-0000-0000-000017000000}"/>
    <cellStyle name="Normal 6 3" xfId="30" xr:uid="{00000000-0005-0000-0000-000018000000}"/>
    <cellStyle name="Normal 6 4" xfId="22" xr:uid="{00000000-0005-0000-0000-000019000000}"/>
    <cellStyle name="Normal 7" xfId="11" xr:uid="{00000000-0005-0000-0000-00001A000000}"/>
    <cellStyle name="Normal 8" xfId="18" xr:uid="{00000000-0005-0000-0000-00001B000000}"/>
    <cellStyle name="Normal 8 2" xfId="33" xr:uid="{00000000-0005-0000-0000-00001C000000}"/>
    <cellStyle name="Normal 8 2 2" xfId="38" xr:uid="{00000000-0005-0000-0000-00001D000000}"/>
    <cellStyle name="Normal 8 3" xfId="37" xr:uid="{00000000-0005-0000-0000-00001E000000}"/>
    <cellStyle name="Normal 8 4" xfId="42" xr:uid="{00000000-0005-0000-0000-00001F000000}"/>
    <cellStyle name="Normal 8 5" xfId="25" xr:uid="{00000000-0005-0000-0000-000020000000}"/>
    <cellStyle name="Normal 9" xfId="35" xr:uid="{00000000-0005-0000-0000-000021000000}"/>
    <cellStyle name="Normal 9 2" xfId="40" xr:uid="{00000000-0005-0000-0000-000022000000}"/>
    <cellStyle name="Normal 9 3" xfId="44" xr:uid="{00000000-0005-0000-0000-000023000000}"/>
    <cellStyle name="Percent 2" xfId="8" xr:uid="{00000000-0005-0000-0000-000024000000}"/>
    <cellStyle name="Percent 2 2" xfId="17" xr:uid="{00000000-0005-0000-0000-000025000000}"/>
    <cellStyle name="Percent 2 3" xfId="31" xr:uid="{00000000-0005-0000-0000-000026000000}"/>
    <cellStyle name="Percent 2 4" xfId="23" xr:uid="{00000000-0005-0000-0000-000027000000}"/>
    <cellStyle name="Percent 2 5" xfId="54" xr:uid="{EBE04E28-75AE-497B-922E-223E1BF7B21B}"/>
    <cellStyle name="Percent 3" xfId="34" xr:uid="{00000000-0005-0000-0000-000028000000}"/>
    <cellStyle name="Percent 3 2" xfId="39" xr:uid="{00000000-0005-0000-0000-000029000000}"/>
    <cellStyle name="Percent 3 3" xfId="43" xr:uid="{00000000-0005-0000-0000-00002A000000}"/>
    <cellStyle name="Percent 4" xfId="36" xr:uid="{00000000-0005-0000-0000-00002B000000}"/>
    <cellStyle name="Percent 4 2" xfId="41" xr:uid="{00000000-0005-0000-0000-00002C000000}"/>
    <cellStyle name="Percent 4 3" xfId="45" xr:uid="{00000000-0005-0000-0000-00002D000000}"/>
    <cellStyle name="Percent 5" xfId="53" xr:uid="{6CD239FE-1A9A-4125-87D7-056FA3862C56}"/>
    <cellStyle name="Percent 6" xfId="61" xr:uid="{BDB6F369-48E5-40A6-A3AE-54EB59327722}"/>
  </cellStyles>
  <dxfs count="1712">
    <dxf>
      <fill>
        <patternFill patternType="none">
          <bgColor auto="1"/>
        </patternFill>
      </fill>
      <border>
        <left/>
        <right/>
        <bottom/>
        <vertical/>
        <horizontal/>
      </border>
    </dxf>
    <dxf>
      <fill>
        <patternFill>
          <bgColor theme="5"/>
        </patternFill>
      </fill>
    </dxf>
    <dxf>
      <fill>
        <patternFill>
          <bgColor theme="5"/>
        </patternFill>
      </fill>
    </dxf>
    <dxf>
      <fill>
        <patternFill>
          <bgColor rgb="FFFFFF00"/>
        </patternFill>
      </fill>
    </dxf>
    <dxf>
      <font>
        <b val="0"/>
        <i val="0"/>
        <strike val="0"/>
        <color auto="1"/>
      </font>
      <numFmt numFmtId="0" formatCode="General"/>
      <fill>
        <patternFill patternType="solid">
          <fgColor theme="1"/>
          <bgColor rgb="FFFF0000"/>
        </patternFill>
      </fill>
      <border>
        <top/>
      </border>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ill>
        <patternFill>
          <bgColor rgb="FFFFFF00"/>
        </patternFill>
      </fill>
    </dxf>
    <dxf>
      <font>
        <b val="0"/>
        <i val="0"/>
        <strike val="0"/>
        <color auto="1"/>
      </font>
      <numFmt numFmtId="0" formatCode="General"/>
      <fill>
        <patternFill patternType="solid">
          <fgColor theme="1"/>
          <bgColor rgb="FFFF0000"/>
        </patternFill>
      </fill>
      <border>
        <top/>
      </border>
    </dxf>
    <dxf>
      <fill>
        <patternFill>
          <bgColor theme="5"/>
        </patternFill>
      </fill>
    </dxf>
    <dxf>
      <fill>
        <patternFill>
          <bgColor rgb="FFFFFF00"/>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ont>
        <b val="0"/>
        <i val="0"/>
        <strike val="0"/>
        <color auto="1"/>
      </font>
      <numFmt numFmtId="0" formatCode="General"/>
      <fill>
        <patternFill patternType="solid">
          <fgColor theme="1"/>
          <bgColor rgb="FFFF0000"/>
        </patternFill>
      </fill>
      <border>
        <top/>
      </border>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ont>
        <b val="0"/>
        <i val="0"/>
        <strike val="0"/>
        <color auto="1"/>
      </font>
      <numFmt numFmtId="0" formatCode="General"/>
      <fill>
        <patternFill patternType="solid">
          <fgColor theme="1"/>
          <bgColor rgb="FFFF0000"/>
        </patternFill>
      </fill>
      <border>
        <top/>
      </border>
    </dxf>
    <dxf>
      <fill>
        <patternFill>
          <bgColor theme="5"/>
        </patternFill>
      </fill>
    </dxf>
    <dxf>
      <fill>
        <patternFill>
          <bgColor rgb="FFFFFF00"/>
        </patternFill>
      </fill>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theme="5"/>
        </patternFill>
      </fill>
    </dxf>
    <dxf>
      <fill>
        <patternFill>
          <bgColor rgb="FFFFFF00"/>
        </patternFill>
      </fill>
    </dxf>
    <dxf>
      <font>
        <b val="0"/>
        <i val="0"/>
        <strike val="0"/>
        <color auto="1"/>
      </font>
      <numFmt numFmtId="0" formatCode="General"/>
      <fill>
        <patternFill patternType="solid">
          <fgColor theme="1"/>
          <bgColor rgb="FFFF0000"/>
        </patternFill>
      </fill>
      <border>
        <top/>
      </border>
    </dxf>
    <dxf>
      <fill>
        <patternFill>
          <bgColor theme="5"/>
        </patternFill>
      </fill>
    </dxf>
    <dxf>
      <fill>
        <patternFill>
          <bgColor rgb="FFFFFF00"/>
        </patternFill>
      </fill>
    </dxf>
    <dxf>
      <font>
        <b val="0"/>
        <i val="0"/>
        <strike val="0"/>
        <color auto="1"/>
      </font>
      <numFmt numFmtId="0" formatCode="General"/>
      <fill>
        <patternFill patternType="solid">
          <fgColor theme="1"/>
          <bgColor rgb="FFFF0000"/>
        </patternFill>
      </fill>
      <border>
        <top/>
      </border>
    </dxf>
    <dxf>
      <fill>
        <patternFill>
          <bgColor theme="5"/>
        </patternFill>
      </fill>
    </dxf>
    <dxf>
      <fill>
        <patternFill>
          <bgColor rgb="FFFFFF00"/>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ont>
        <b val="0"/>
        <i val="0"/>
        <strike val="0"/>
        <color auto="1"/>
      </font>
      <numFmt numFmtId="0" formatCode="General"/>
      <fill>
        <patternFill patternType="solid">
          <fgColor theme="1"/>
          <bgColor rgb="FFFF0000"/>
        </patternFill>
      </fill>
      <border>
        <top/>
      </border>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ill>
        <patternFill>
          <bgColor theme="5"/>
        </patternFill>
      </fill>
    </dxf>
    <dxf>
      <fill>
        <patternFill>
          <bgColor rgb="FFFFFF00"/>
        </patternFill>
      </fill>
    </dxf>
    <dxf>
      <font>
        <b val="0"/>
        <i val="0"/>
        <strike val="0"/>
        <color auto="1"/>
      </font>
      <numFmt numFmtId="0" formatCode="General"/>
      <fill>
        <patternFill patternType="solid">
          <fgColor theme="1"/>
          <bgColor rgb="FFFF0000"/>
        </patternFill>
      </fill>
      <border>
        <top/>
      </border>
    </dxf>
    <dxf>
      <fill>
        <patternFill>
          <bgColor theme="5"/>
        </patternFill>
      </fill>
    </dxf>
    <dxf>
      <fill>
        <patternFill>
          <bgColor rgb="FFFFFF00"/>
        </patternFill>
      </fill>
    </dxf>
    <dxf>
      <font>
        <b val="0"/>
        <i val="0"/>
        <strike val="0"/>
        <color auto="1"/>
      </font>
      <numFmt numFmtId="0" formatCode="General"/>
      <fill>
        <patternFill patternType="solid">
          <fgColor theme="1"/>
          <bgColor rgb="FFFF0000"/>
        </patternFill>
      </fill>
      <border>
        <top/>
      </border>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ill>
        <patternFill>
          <bgColor theme="5"/>
        </patternFill>
      </fill>
    </dxf>
    <dxf>
      <fill>
        <patternFill>
          <bgColor rgb="FFFFFF00"/>
        </patternFill>
      </fill>
    </dxf>
    <dxf>
      <font>
        <b val="0"/>
        <i val="0"/>
        <strike val="0"/>
        <color auto="1"/>
      </font>
      <numFmt numFmtId="0" formatCode="General"/>
      <fill>
        <patternFill patternType="solid">
          <fgColor theme="1"/>
          <bgColor rgb="FFFF0000"/>
        </patternFill>
      </fill>
      <border>
        <top/>
      </border>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theme="5"/>
        </patternFill>
      </fill>
    </dxf>
    <dxf>
      <fill>
        <patternFill>
          <bgColor rgb="FFFFFF00"/>
        </patternFill>
      </fill>
    </dxf>
    <dxf>
      <font>
        <b val="0"/>
        <i val="0"/>
        <strike val="0"/>
        <color auto="1"/>
      </font>
      <numFmt numFmtId="0" formatCode="General"/>
      <fill>
        <patternFill patternType="solid">
          <fgColor theme="1"/>
          <bgColor rgb="FFFF0000"/>
        </patternFill>
      </fill>
      <border>
        <top/>
      </border>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ill>
        <patternFill>
          <bgColor rgb="FFFFFF00"/>
        </patternFill>
      </fill>
    </dxf>
    <dxf>
      <font>
        <b val="0"/>
        <i val="0"/>
        <strike val="0"/>
        <color auto="1"/>
      </font>
      <numFmt numFmtId="0" formatCode="General"/>
      <fill>
        <patternFill patternType="solid">
          <fgColor theme="1"/>
          <bgColor rgb="FFFF0000"/>
        </patternFill>
      </fill>
      <border>
        <top/>
      </border>
    </dxf>
    <dxf>
      <fill>
        <patternFill>
          <bgColor theme="5"/>
        </patternFill>
      </fill>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Calibri"/>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medium">
          <color auto="1"/>
        </left>
        <right style="thin">
          <color auto="1"/>
        </right>
        <top style="thin">
          <color auto="1"/>
        </top>
        <bottom style="thin">
          <color auto="1"/>
        </bottom>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dxf>
    <dxf>
      <border outline="0">
        <bottom style="medium">
          <color auto="1"/>
        </bottom>
      </border>
    </dxf>
    <dxf>
      <font>
        <strike val="0"/>
        <outline val="0"/>
        <shadow val="0"/>
        <u val="none"/>
        <vertAlign val="baseline"/>
        <sz val="11"/>
        <name val="Calibri"/>
        <scheme val="minor"/>
      </font>
      <fill>
        <patternFill patternType="solid">
          <fgColor indexed="64"/>
          <bgColor theme="0" tint="-0.14996795556505021"/>
        </patternFill>
      </fill>
      <border diagonalUp="0" diagonalDown="0" outline="0">
        <left style="thin">
          <color auto="1"/>
        </left>
        <right style="thin">
          <color auto="1"/>
        </right>
        <top/>
        <bottom/>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border diagonalUp="0" diagonalDown="0" outline="0">
        <left style="medium">
          <color indexed="64"/>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alignment horizontal="right" textRotation="0" wrapText="0" indent="0" justifyLastLine="0" readingOrder="0"/>
      <border diagonalUp="0" diagonalDown="0" outline="0">
        <left style="thin">
          <color indexed="64"/>
        </left>
        <right style="medium">
          <color indexed="64"/>
        </right>
        <top/>
        <bottom/>
      </border>
    </dxf>
    <dxf>
      <font>
        <strike val="0"/>
        <outline val="0"/>
        <shadow val="0"/>
        <u val="none"/>
        <vertAlign val="baseline"/>
        <sz val="11"/>
        <name val="Arial"/>
        <scheme val="none"/>
      </font>
      <alignment horizontal="righ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medium">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border diagonalUp="0" diagonalDown="0" outline="0">
        <left style="medium">
          <color indexed="64"/>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alignment horizontal="right" textRotation="0" wrapText="0" indent="0" justifyLastLine="0" readingOrder="0"/>
      <border diagonalUp="0" diagonalDown="0" outline="0">
        <left style="thin">
          <color indexed="64"/>
        </left>
        <right style="medium">
          <color indexed="64"/>
        </right>
        <top/>
        <bottom/>
      </border>
    </dxf>
    <dxf>
      <font>
        <strike val="0"/>
        <outline val="0"/>
        <shadow val="0"/>
        <u val="none"/>
        <vertAlign val="baseline"/>
        <sz val="11"/>
        <name val="Arial"/>
        <scheme val="none"/>
      </font>
      <alignment horizontal="righ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medium">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border diagonalUp="0" diagonalDown="0" outline="0">
        <left style="medium">
          <color indexed="64"/>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rgb="FF808080"/>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FFFF9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FFFFFF"/>
        <name val="Arial"/>
        <scheme val="none"/>
      </font>
      <numFmt numFmtId="0" formatCode="General"/>
      <fill>
        <patternFill patternType="solid">
          <fgColor indexed="64"/>
          <bgColor rgb="FFFFFF99"/>
        </patternFill>
      </fill>
      <alignment horizontal="left"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fill>
        <patternFill patternType="solid">
          <fgColor rgb="FF000000"/>
          <bgColor theme="0" tint="-0.249977111117893"/>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8"/>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8"/>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i val="0"/>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bottom style="thin">
          <color indexed="64"/>
        </bottom>
      </border>
    </dxf>
    <dxf>
      <font>
        <b val="0"/>
        <i/>
        <strike val="0"/>
        <condense val="0"/>
        <extend val="0"/>
        <outline val="0"/>
        <shadow val="0"/>
        <u val="none"/>
        <vertAlign val="baseline"/>
        <sz val="18"/>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8"/>
        <color rgb="FF000000"/>
        <name val="Calibri"/>
        <scheme val="none"/>
      </font>
      <fill>
        <patternFill patternType="none">
          <fgColor indexed="64"/>
          <bgColor indexed="65"/>
        </patternFill>
      </fill>
      <alignment horizontal="left" vertical="bottom" textRotation="0" wrapText="1" indent="0" justifyLastLine="0" shrinkToFit="0" readingOrder="1"/>
      <border diagonalUp="0" diagonalDown="0">
        <left style="thin">
          <color rgb="FF000000"/>
        </left>
        <right style="thin">
          <color rgb="FF000000"/>
        </right>
        <top style="thin">
          <color rgb="FF000000"/>
        </top>
        <bottom style="thin">
          <color rgb="FF000000"/>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bottom style="thin">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style="thin">
          <color indexed="64"/>
        </bottom>
      </border>
    </dxf>
    <dxf>
      <font>
        <b val="0"/>
        <i/>
        <strike val="0"/>
        <condense val="0"/>
        <extend val="0"/>
        <outline val="0"/>
        <shadow val="0"/>
        <u val="none"/>
        <vertAlign val="baseline"/>
        <sz val="18"/>
        <color rgb="FF000000"/>
        <name val="Arial"/>
        <scheme val="none"/>
      </font>
      <numFmt numFmtId="0" formatCode="General"/>
      <fill>
        <patternFill patternType="solid">
          <fgColor indexed="64"/>
          <bgColor theme="0" tint="-4.9989318521683403E-2"/>
        </patternFill>
      </fill>
      <alignment horizontal="left" vertical="center" textRotation="0" wrapText="1" indent="0" justifyLastLine="0" shrinkToFit="0" readingOrder="0"/>
      <border diagonalUp="0" diagonalDown="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18"/>
        <color rgb="FF000000"/>
        <name val="Arial"/>
        <scheme val="none"/>
      </font>
      <fill>
        <patternFill patternType="none">
          <fgColor indexed="64"/>
          <bgColor indexed="65"/>
        </patternFill>
      </fill>
      <alignment horizontal="left"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8"/>
        <color rgb="FF000000"/>
        <name val="Arial"/>
        <scheme val="none"/>
      </font>
      <fill>
        <patternFill patternType="solid">
          <fgColor rgb="FF000000"/>
          <bgColor rgb="FFC0C0C0"/>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1"/>
        <color auto="1"/>
        <name val="Arial"/>
        <scheme val="none"/>
      </font>
      <numFmt numFmtId="1" formatCode="0"/>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medium">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left" vertical="center"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1" formatCode="0"/>
      <alignment horizontal="lef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numFmt numFmtId="1" formatCode="0"/>
      <alignment horizontal="left" vertical="center" textRotation="0" indent="0" justifyLastLine="0" readingOrder="0"/>
    </dxf>
    <dxf>
      <font>
        <b/>
        <i val="0"/>
        <strike val="0"/>
        <condense val="0"/>
        <extend val="0"/>
        <outline val="0"/>
        <shadow val="0"/>
        <u val="none"/>
        <vertAlign val="baseline"/>
        <sz val="11"/>
        <color auto="1"/>
        <name val="Arial"/>
        <scheme val="none"/>
      </font>
      <numFmt numFmtId="1" formatCode="0"/>
      <fill>
        <patternFill patternType="solid">
          <fgColor indexed="64"/>
          <bgColor theme="8"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left" vertical="center"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1" formatCode="0"/>
      <alignment horizontal="lef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border outline="0">
        <left style="medium">
          <color indexed="64"/>
        </left>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numFmt numFmtId="1" formatCode="0"/>
      <alignment horizontal="left" vertical="center" textRotation="0" indent="0" justifyLastLine="0" readingOrder="0"/>
    </dxf>
    <dxf>
      <font>
        <b/>
        <i val="0"/>
        <strike val="0"/>
        <condense val="0"/>
        <extend val="0"/>
        <outline val="0"/>
        <shadow val="0"/>
        <u val="none"/>
        <vertAlign val="baseline"/>
        <sz val="11"/>
        <color auto="1"/>
        <name val="Arial"/>
        <scheme val="none"/>
      </font>
      <numFmt numFmtId="1" formatCode="0"/>
      <fill>
        <patternFill patternType="solid">
          <fgColor indexed="64"/>
          <bgColor theme="5"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fill>
        <patternFill patternType="solid">
          <fgColor indexed="64"/>
          <bgColor theme="7" tint="0.59999389629810485"/>
        </patternFill>
      </fill>
      <alignment horizontal="right" vertical="center" textRotation="0" wrapText="1" indent="0" justifyLastLine="0" shrinkToFit="0" readingOrder="0"/>
      <border diagonalUp="0" diagonalDown="0" outline="0">
        <left style="thin">
          <color rgb="FF000000"/>
        </left>
        <right style="medium">
          <color indexed="64"/>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FF0000"/>
        <name val="Arial"/>
        <family val="2"/>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FF0000"/>
        <name val="Arial"/>
        <family val="2"/>
        <scheme val="none"/>
      </font>
      <alignment horizontal="right"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right" vertical="center" textRotation="0" wrapText="1" indent="0" justifyLastLine="0" shrinkToFit="0" readingOrder="0"/>
      <border diagonalUp="0" diagonalDown="0" outline="0">
        <left style="thin">
          <color auto="1"/>
        </left>
        <right style="medium">
          <color indexed="64"/>
        </right>
        <top style="medium">
          <color auto="1"/>
        </top>
        <bottom style="medium">
          <color auto="1"/>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val="0"/>
        <i val="0"/>
        <strike val="0"/>
        <condense val="0"/>
        <extend val="0"/>
        <outline val="0"/>
        <shadow val="0"/>
        <u val="none"/>
        <vertAlign val="baseline"/>
        <sz val="11"/>
        <color rgb="FF000000"/>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medium">
          <color indexed="64"/>
        </left>
        <right style="thin">
          <color auto="1"/>
        </right>
        <top style="medium">
          <color auto="1"/>
        </top>
        <bottom style="medium">
          <color auto="1"/>
        </bottom>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indexed="64"/>
        </left>
        <right style="medium">
          <color rgb="FF000000"/>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theme="0" tint="-0.14999847407452621"/>
        </patternFill>
      </fill>
      <alignment horizontal="left" vertical="center" textRotation="0" wrapText="1" indent="0" justifyLastLine="0" shrinkToFit="0" readingOrder="0"/>
      <border diagonalUp="0" diagonalDown="0">
        <left style="medium">
          <color rgb="FF000000"/>
        </left>
        <right style="thin">
          <color indexed="64"/>
        </right>
        <top style="thin">
          <color indexed="64"/>
        </top>
        <bottom style="thin">
          <color indexed="64"/>
        </bottom>
        <vertical/>
        <horizontal/>
      </border>
    </dxf>
    <dxf>
      <border outline="0">
        <right style="medium">
          <color indexed="64"/>
        </right>
        <top style="medium">
          <color indexed="64"/>
        </top>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dxf>
    <dxf>
      <alignment horizontal="right" vertical="center" textRotation="0" indent="0" justifyLastLine="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9"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outline="0">
        <left style="thin">
          <color indexed="64"/>
        </left>
      </border>
    </dxf>
    <dxf>
      <alignment horizontal="right" vertical="center" textRotation="0" indent="0" justifyLastLine="0" shrinkToFit="0" readingOrder="0"/>
      <border outline="0">
        <left style="thin">
          <color indexed="64"/>
        </left>
      </border>
    </dxf>
    <dxf>
      <alignment horizontal="right" vertical="center" textRotation="0" indent="0" justifyLastLine="0" shrinkToFit="0" readingOrder="0"/>
      <border outline="0">
        <right style="thin">
          <color indexed="64"/>
        </right>
      </border>
    </dxf>
    <dxf>
      <border outline="0">
        <right style="thin">
          <color indexed="64"/>
        </right>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5"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outline="0">
        <left style="thin">
          <color indexed="64"/>
        </left>
      </border>
    </dxf>
    <dxf>
      <alignment horizontal="right" vertical="center" textRotation="0" indent="0" justifyLastLine="0" shrinkToFit="0" readingOrder="0"/>
      <border outline="0">
        <left style="thin">
          <color indexed="64"/>
        </left>
      </border>
    </dxf>
    <dxf>
      <alignment horizontal="right" vertical="center" textRotation="0" indent="0" justifyLastLine="0" shrinkToFit="0" readingOrder="0"/>
      <border outline="0">
        <right style="thin">
          <color indexed="64"/>
        </right>
      </border>
    </dxf>
    <dxf>
      <border outline="0">
        <right style="thin">
          <color indexed="64"/>
        </right>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outline="0">
        <left style="thin">
          <color indexed="64"/>
        </left>
      </border>
    </dxf>
    <dxf>
      <alignment horizontal="right" vertical="center" textRotation="0" wrapText="0" indent="0" justifyLastLine="0" shrinkToFit="0" readingOrder="0"/>
      <border>
        <left style="thin">
          <color indexed="64"/>
        </left>
      </border>
    </dxf>
    <dxf>
      <numFmt numFmtId="2" formatCode="0.00"/>
    </dxf>
    <dxf>
      <alignment horizontal="right" vertical="center" textRotation="0" wrapText="0" indent="0" justifyLastLine="0" shrinkToFit="0" readingOrder="0"/>
      <border>
        <right style="thin">
          <color indexed="64"/>
        </right>
      </border>
    </dxf>
    <dxf>
      <border outline="0">
        <right style="thin">
          <color indexed="64"/>
        </right>
      </border>
    </dxf>
    <dxf>
      <border outline="0">
        <top style="thin">
          <color indexed="64"/>
        </top>
      </border>
    </dxf>
    <dxf>
      <border outline="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top style="thin">
          <color indexed="64"/>
        </top>
        <bottom style="thin">
          <color indexed="64"/>
        </bottom>
        <horizontal style="thin">
          <color indexed="64"/>
        </horizontal>
      </border>
    </dxf>
    <dxf>
      <border diagonalUp="0" diagonalDown="0" outline="0">
        <left style="thin">
          <color indexed="64"/>
        </left>
        <top style="thin">
          <color indexed="64"/>
        </top>
        <bottom style="thin">
          <color indexed="64"/>
        </bottom>
      </border>
    </dxf>
    <dxf>
      <alignment horizontal="right" vertical="center" textRotation="0" wrapText="0" indent="0" justifyLastLine="0" shrinkToFit="0" readingOrder="0"/>
      <border diagonalUp="0" diagonalDown="0">
        <left style="thin">
          <color indexed="64"/>
        </left>
        <top style="thin">
          <color indexed="64"/>
        </top>
        <bottom style="thin">
          <color indexed="64"/>
        </bottom>
      </border>
    </dxf>
    <dxf>
      <numFmt numFmtId="2" formatCode="0.00"/>
    </dxf>
    <dxf>
      <alignment horizontal="right" vertical="center" textRotation="0" wrapText="0" indent="0" justifyLastLine="0" shrinkToFit="0" readingOrder="0"/>
      <border diagonalUp="0" diagonalDown="0">
        <right style="thin">
          <color indexed="64"/>
        </right>
        <top style="thin">
          <color indexed="64"/>
        </top>
        <bottom style="thin">
          <color indexed="64"/>
        </bottom>
      </border>
    </dxf>
    <dxf>
      <border diagonalUp="0" diagonalDown="0" outline="0">
        <right style="thin">
          <color indexed="64"/>
        </right>
        <top style="thin">
          <color indexed="64"/>
        </top>
        <bottom style="thin">
          <color indexed="64"/>
        </bottom>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top style="thin">
          <color indexed="64"/>
        </top>
        <bottom style="thin">
          <color indexed="64"/>
        </bottom>
        <horizontal style="thin">
          <color indexed="64"/>
        </horizontal>
      </border>
    </dxf>
    <dxf>
      <border diagonalUp="0" diagonalDown="0" outline="0">
        <left style="thin">
          <color indexed="64"/>
        </left>
        <top style="thin">
          <color indexed="64"/>
        </top>
        <bottom style="thin">
          <color indexed="64"/>
        </bottom>
      </border>
    </dxf>
    <dxf>
      <alignment horizontal="right" vertical="center" textRotation="0" wrapText="0" indent="0" justifyLastLine="0" shrinkToFit="0" readingOrder="0"/>
      <border diagonalUp="0" diagonalDown="0">
        <left style="thin">
          <color indexed="64"/>
        </left>
        <top style="thin">
          <color indexed="64"/>
        </top>
        <bottom style="thin">
          <color indexed="64"/>
        </bottom>
      </border>
    </dxf>
    <dxf>
      <numFmt numFmtId="2" formatCode="0.00"/>
    </dxf>
    <dxf>
      <alignment horizontal="right" vertical="center" textRotation="0" wrapText="0" indent="0" justifyLastLine="0" shrinkToFit="0" readingOrder="0"/>
      <border diagonalUp="0" diagonalDown="0">
        <right style="thin">
          <color indexed="64"/>
        </right>
        <top style="thin">
          <color indexed="64"/>
        </top>
        <bottom style="thin">
          <color indexed="64"/>
        </bottom>
      </border>
    </dxf>
    <dxf>
      <border diagonalUp="0" diagonalDown="0" outline="0">
        <right style="thin">
          <color indexed="64"/>
        </right>
        <top style="thin">
          <color indexed="64"/>
        </top>
        <bottom style="thin">
          <color indexed="64"/>
        </bottom>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protection locked="1" hidden="0"/>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outline="0">
        <left style="thin">
          <color indexed="64"/>
        </lef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alignment horizontal="right" vertical="center" textRotation="0" wrapText="0" indent="0" justifyLastLine="0" shrinkToFit="0" readingOrder="0"/>
      <border diagonalUp="0" diagonalDown="0">
        <left style="thin">
          <color indexed="64"/>
        </lef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numFmt numFmtId="2" formatCode="0.00"/>
    </dxf>
    <dxf>
      <alignment horizontal="right" vertical="center" textRotation="0" wrapText="0" indent="0" justifyLastLine="0" shrinkToFit="0" readingOrder="0"/>
      <border diagonalUp="0" diagonalDown="0">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9"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colors>
    <mruColors>
      <color rgb="FFFFFF99"/>
      <color rgb="FF0000FF"/>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DYAA Baseline Water Supply-Demand Balance and Components of Demand</a:t>
            </a:r>
          </a:p>
        </c:rich>
      </c:tx>
      <c:layout>
        <c:manualLayout>
          <c:xMode val="edge"/>
          <c:yMode val="edge"/>
          <c:x val="0.14002797030030573"/>
          <c:y val="2.2615380584885832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CAMCAM!$G$23:$CI$23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CAMCAM!$G$368:$CI$368</c:f>
              <c:numCache>
                <c:formatCode>0.00</c:formatCode>
                <c:ptCount val="81"/>
                <c:pt idx="0">
                  <c:v>33.913543599999997</c:v>
                </c:pt>
                <c:pt idx="1">
                  <c:v>31.303543599999998</c:v>
                </c:pt>
                <c:pt idx="2">
                  <c:v>31.310182560000001</c:v>
                </c:pt>
                <c:pt idx="3">
                  <c:v>31.166843640000003</c:v>
                </c:pt>
                <c:pt idx="4">
                  <c:v>30.956313270000003</c:v>
                </c:pt>
                <c:pt idx="5">
                  <c:v>32.093497130000003</c:v>
                </c:pt>
                <c:pt idx="6">
                  <c:v>33.044930139999998</c:v>
                </c:pt>
                <c:pt idx="7">
                  <c:v>34.135423180000004</c:v>
                </c:pt>
                <c:pt idx="8">
                  <c:v>35.200263319999998</c:v>
                </c:pt>
                <c:pt idx="9">
                  <c:v>36.172621900000003</c:v>
                </c:pt>
                <c:pt idx="10">
                  <c:v>37.015608990000004</c:v>
                </c:pt>
                <c:pt idx="11">
                  <c:v>37.730436269999998</c:v>
                </c:pt>
                <c:pt idx="12">
                  <c:v>38.33634215</c:v>
                </c:pt>
                <c:pt idx="13">
                  <c:v>38.943573520000001</c:v>
                </c:pt>
                <c:pt idx="14">
                  <c:v>39.555803660000002</c:v>
                </c:pt>
                <c:pt idx="15">
                  <c:v>40.123486290000002</c:v>
                </c:pt>
                <c:pt idx="16">
                  <c:v>40.650849829999999</c:v>
                </c:pt>
                <c:pt idx="17">
                  <c:v>41.142771320000001</c:v>
                </c:pt>
                <c:pt idx="18">
                  <c:v>41.641182700000002</c:v>
                </c:pt>
                <c:pt idx="19">
                  <c:v>42.113023310000003</c:v>
                </c:pt>
                <c:pt idx="20">
                  <c:v>42.582379840000002</c:v>
                </c:pt>
                <c:pt idx="21">
                  <c:v>43.035191179999998</c:v>
                </c:pt>
                <c:pt idx="22">
                  <c:v>43.470868629999998</c:v>
                </c:pt>
                <c:pt idx="23">
                  <c:v>43.8932492</c:v>
                </c:pt>
                <c:pt idx="24">
                  <c:v>44.294846220000004</c:v>
                </c:pt>
                <c:pt idx="25">
                  <c:v>44.671491039999999</c:v>
                </c:pt>
                <c:pt idx="26">
                  <c:v>45.027264410000001</c:v>
                </c:pt>
                <c:pt idx="27">
                  <c:v>45.369305580000002</c:v>
                </c:pt>
                <c:pt idx="28">
                  <c:v>45.694150659999998</c:v>
                </c:pt>
                <c:pt idx="29">
                  <c:v>45.997767660000001</c:v>
                </c:pt>
                <c:pt idx="30">
                  <c:v>46.217318470000002</c:v>
                </c:pt>
                <c:pt idx="31">
                  <c:v>46.42880151</c:v>
                </c:pt>
                <c:pt idx="32">
                  <c:v>46.635498519999999</c:v>
                </c:pt>
                <c:pt idx="33">
                  <c:v>46.835399629999998</c:v>
                </c:pt>
                <c:pt idx="34">
                  <c:v>47.032856010000003</c:v>
                </c:pt>
                <c:pt idx="35">
                  <c:v>47.227018149999999</c:v>
                </c:pt>
                <c:pt idx="36">
                  <c:v>47.417059540000004</c:v>
                </c:pt>
                <c:pt idx="37">
                  <c:v>47.596955890000004</c:v>
                </c:pt>
                <c:pt idx="38">
                  <c:v>47.768328740000001</c:v>
                </c:pt>
                <c:pt idx="39">
                  <c:v>47.93638344</c:v>
                </c:pt>
                <c:pt idx="40">
                  <c:v>48.09853339</c:v>
                </c:pt>
                <c:pt idx="41">
                  <c:v>48.255997560000004</c:v>
                </c:pt>
                <c:pt idx="42">
                  <c:v>48.41060719</c:v>
                </c:pt>
                <c:pt idx="43">
                  <c:v>48.562261790000001</c:v>
                </c:pt>
                <c:pt idx="44">
                  <c:v>48.712814600000002</c:v>
                </c:pt>
                <c:pt idx="45">
                  <c:v>48.862596369999999</c:v>
                </c:pt>
                <c:pt idx="46">
                  <c:v>49.011154550000001</c:v>
                </c:pt>
                <c:pt idx="47">
                  <c:v>49.156823899999999</c:v>
                </c:pt>
                <c:pt idx="48">
                  <c:v>49.302206300000002</c:v>
                </c:pt>
                <c:pt idx="49">
                  <c:v>49.446606729999999</c:v>
                </c:pt>
                <c:pt idx="50">
                  <c:v>49.59049349</c:v>
                </c:pt>
                <c:pt idx="51">
                  <c:v>49.735911899999998</c:v>
                </c:pt>
                <c:pt idx="52">
                  <c:v>49.882484359999999</c:v>
                </c:pt>
                <c:pt idx="53">
                  <c:v>50.030452340000004</c:v>
                </c:pt>
                <c:pt idx="54">
                  <c:v>50.178380860000004</c:v>
                </c:pt>
                <c:pt idx="55">
                  <c:v>50.326985700000002</c:v>
                </c:pt>
                <c:pt idx="56">
                  <c:v>50.47597056</c:v>
                </c:pt>
                <c:pt idx="57">
                  <c:v>50.62640906</c:v>
                </c:pt>
                <c:pt idx="58">
                  <c:v>50.779758460000004</c:v>
                </c:pt>
                <c:pt idx="59">
                  <c:v>50.935332559999999</c:v>
                </c:pt>
                <c:pt idx="60">
                  <c:v>51.094649580000002</c:v>
                </c:pt>
                <c:pt idx="61">
                  <c:v>51.25678345</c:v>
                </c:pt>
                <c:pt idx="62">
                  <c:v>51.421748399999998</c:v>
                </c:pt>
                <c:pt idx="63">
                  <c:v>51.587050959999999</c:v>
                </c:pt>
                <c:pt idx="64">
                  <c:v>51.75357348</c:v>
                </c:pt>
                <c:pt idx="65">
                  <c:v>51.921018969999999</c:v>
                </c:pt>
                <c:pt idx="66">
                  <c:v>52.090085670000001</c:v>
                </c:pt>
                <c:pt idx="67">
                  <c:v>52.258172710000004</c:v>
                </c:pt>
                <c:pt idx="68">
                  <c:v>52.42648561</c:v>
                </c:pt>
                <c:pt idx="69">
                  <c:v>52.594906460000004</c:v>
                </c:pt>
                <c:pt idx="70">
                  <c:v>52.76399885</c:v>
                </c:pt>
                <c:pt idx="71">
                  <c:v>52.932380700000003</c:v>
                </c:pt>
                <c:pt idx="72">
                  <c:v>53.100274589999998</c:v>
                </c:pt>
                <c:pt idx="73">
                  <c:v>53.265725430000003</c:v>
                </c:pt>
                <c:pt idx="74">
                  <c:v>53.430324750000004</c:v>
                </c:pt>
                <c:pt idx="75">
                  <c:v>53.592647910000004</c:v>
                </c:pt>
                <c:pt idx="76">
                  <c:v>53.752655330000003</c:v>
                </c:pt>
                <c:pt idx="77">
                  <c:v>53.909394130000003</c:v>
                </c:pt>
                <c:pt idx="78">
                  <c:v>54.063444220000001</c:v>
                </c:pt>
                <c:pt idx="79">
                  <c:v>54.214139150000001</c:v>
                </c:pt>
                <c:pt idx="80">
                  <c:v>57.284139150000001</c:v>
                </c:pt>
              </c:numCache>
            </c:numRef>
          </c:val>
          <c:extLst>
            <c:ext xmlns:c16="http://schemas.microsoft.com/office/drawing/2014/chart" uri="{C3380CC4-5D6E-409C-BE32-E72D297353CC}">
              <c16:uniqueId val="{00000000-A07A-46EE-88A6-AB26277F718A}"/>
            </c:ext>
          </c:extLst>
        </c:ser>
        <c:ser>
          <c:idx val="0"/>
          <c:order val="1"/>
          <c:tx>
            <c:v>Unmeasured household consumption</c:v>
          </c:tx>
          <c:spPr>
            <a:ln w="25400">
              <a:noFill/>
            </a:ln>
          </c:spPr>
          <c:cat>
            <c:strRef>
              <c:f>CAMCAM!$G$23:$CI$23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CAMCAM!$G$369:$CI$369</c:f>
              <c:numCache>
                <c:formatCode>0.00</c:formatCode>
                <c:ptCount val="81"/>
                <c:pt idx="0">
                  <c:v>17.561084109999999</c:v>
                </c:pt>
                <c:pt idx="1">
                  <c:v>16.341084110000001</c:v>
                </c:pt>
                <c:pt idx="2">
                  <c:v>15.372449890000002</c:v>
                </c:pt>
                <c:pt idx="3">
                  <c:v>14.395511370000001</c:v>
                </c:pt>
                <c:pt idx="4">
                  <c:v>13.455677140000001</c:v>
                </c:pt>
                <c:pt idx="5">
                  <c:v>13.115094260000001</c:v>
                </c:pt>
                <c:pt idx="6">
                  <c:v>12.77323889</c:v>
                </c:pt>
                <c:pt idx="7">
                  <c:v>12.438637700000001</c:v>
                </c:pt>
                <c:pt idx="8">
                  <c:v>12.109299010000001</c:v>
                </c:pt>
                <c:pt idx="9">
                  <c:v>11.781910310000001</c:v>
                </c:pt>
                <c:pt idx="10">
                  <c:v>11.476731470000001</c:v>
                </c:pt>
                <c:pt idx="11">
                  <c:v>11.17036695</c:v>
                </c:pt>
                <c:pt idx="12">
                  <c:v>10.86616652</c:v>
                </c:pt>
                <c:pt idx="13">
                  <c:v>10.56824044</c:v>
                </c:pt>
                <c:pt idx="14">
                  <c:v>10.2773398</c:v>
                </c:pt>
                <c:pt idx="15">
                  <c:v>9.9935738800000014</c:v>
                </c:pt>
                <c:pt idx="16">
                  <c:v>9.7128765900000005</c:v>
                </c:pt>
                <c:pt idx="17">
                  <c:v>9.4404786900000008</c:v>
                </c:pt>
                <c:pt idx="18">
                  <c:v>9.1780409500000015</c:v>
                </c:pt>
                <c:pt idx="19">
                  <c:v>8.9198698000000007</c:v>
                </c:pt>
                <c:pt idx="20">
                  <c:v>8.6687469530000012</c:v>
                </c:pt>
                <c:pt idx="21">
                  <c:v>8.4252925220000012</c:v>
                </c:pt>
                <c:pt idx="22">
                  <c:v>8.1890150100000003</c:v>
                </c:pt>
                <c:pt idx="23">
                  <c:v>7.9599713749999994</c:v>
                </c:pt>
                <c:pt idx="24">
                  <c:v>7.7370136149999995</c:v>
                </c:pt>
                <c:pt idx="25">
                  <c:v>7.519257638</c:v>
                </c:pt>
                <c:pt idx="26">
                  <c:v>7.3072037409999995</c:v>
                </c:pt>
                <c:pt idx="27">
                  <c:v>7.1012959320000002</c:v>
                </c:pt>
                <c:pt idx="28">
                  <c:v>6.9009868519999999</c:v>
                </c:pt>
                <c:pt idx="29">
                  <c:v>6.7056585789999996</c:v>
                </c:pt>
                <c:pt idx="30">
                  <c:v>6.5269225879999997</c:v>
                </c:pt>
                <c:pt idx="31">
                  <c:v>6.3529352709999998</c:v>
                </c:pt>
                <c:pt idx="32">
                  <c:v>6.1832138049999994</c:v>
                </c:pt>
                <c:pt idx="33">
                  <c:v>6.017617692</c:v>
                </c:pt>
                <c:pt idx="34">
                  <c:v>5.8558497479999998</c:v>
                </c:pt>
                <c:pt idx="35">
                  <c:v>5.6975352109999999</c:v>
                </c:pt>
                <c:pt idx="36">
                  <c:v>5.5432752760000001</c:v>
                </c:pt>
                <c:pt idx="37">
                  <c:v>5.3933269299999997</c:v>
                </c:pt>
                <c:pt idx="38">
                  <c:v>5.2472711829999996</c:v>
                </c:pt>
                <c:pt idx="39">
                  <c:v>5.1046642689999997</c:v>
                </c:pt>
                <c:pt idx="40">
                  <c:v>4.965513617</c:v>
                </c:pt>
                <c:pt idx="41">
                  <c:v>4.8298661989999996</c:v>
                </c:pt>
                <c:pt idx="42">
                  <c:v>4.6975002239999997</c:v>
                </c:pt>
                <c:pt idx="43">
                  <c:v>4.5681573789999996</c:v>
                </c:pt>
                <c:pt idx="44">
                  <c:v>4.4417990270000001</c:v>
                </c:pt>
                <c:pt idx="45">
                  <c:v>4.3183997249999999</c:v>
                </c:pt>
                <c:pt idx="46">
                  <c:v>4.1981678489999998</c:v>
                </c:pt>
                <c:pt idx="47">
                  <c:v>4.0810361510000002</c:v>
                </c:pt>
                <c:pt idx="48">
                  <c:v>3.9667874859999994</c:v>
                </c:pt>
                <c:pt idx="49">
                  <c:v>3.8553385389999999</c:v>
                </c:pt>
                <c:pt idx="50">
                  <c:v>3.7466094209999996</c:v>
                </c:pt>
                <c:pt idx="51">
                  <c:v>3.6405981519999999</c:v>
                </c:pt>
                <c:pt idx="52">
                  <c:v>3.5371765659999994</c:v>
                </c:pt>
                <c:pt idx="53">
                  <c:v>3.4363702389999995</c:v>
                </c:pt>
                <c:pt idx="54">
                  <c:v>3.338168735</c:v>
                </c:pt>
                <c:pt idx="55">
                  <c:v>3.2423677369999995</c:v>
                </c:pt>
                <c:pt idx="56">
                  <c:v>3.149080412</c:v>
                </c:pt>
                <c:pt idx="57">
                  <c:v>3.0581705139999995</c:v>
                </c:pt>
                <c:pt idx="58">
                  <c:v>2.9694316999999995</c:v>
                </c:pt>
                <c:pt idx="59">
                  <c:v>2.8828585970000002</c:v>
                </c:pt>
                <c:pt idx="60">
                  <c:v>2.7982258599999996</c:v>
                </c:pt>
                <c:pt idx="61">
                  <c:v>2.7155660460000002</c:v>
                </c:pt>
                <c:pt idx="62">
                  <c:v>2.6348453520000001</c:v>
                </c:pt>
                <c:pt idx="63">
                  <c:v>2.5561065300000001</c:v>
                </c:pt>
                <c:pt idx="64">
                  <c:v>2.4792499990000003</c:v>
                </c:pt>
                <c:pt idx="65">
                  <c:v>2.404181543</c:v>
                </c:pt>
                <c:pt idx="66">
                  <c:v>2.3308746750000005</c:v>
                </c:pt>
                <c:pt idx="67">
                  <c:v>2.2593299489999996</c:v>
                </c:pt>
                <c:pt idx="68">
                  <c:v>2.189450828</c:v>
                </c:pt>
                <c:pt idx="69">
                  <c:v>2.1211723679999999</c:v>
                </c:pt>
                <c:pt idx="70">
                  <c:v>2.0543864300000001</c:v>
                </c:pt>
                <c:pt idx="71">
                  <c:v>1.9891728399999999</c:v>
                </c:pt>
                <c:pt idx="72">
                  <c:v>1.925500395</c:v>
                </c:pt>
                <c:pt idx="73">
                  <c:v>1.8634352260000002</c:v>
                </c:pt>
                <c:pt idx="74">
                  <c:v>1.8028185860000001</c:v>
                </c:pt>
                <c:pt idx="75">
                  <c:v>1.7436243279999999</c:v>
                </c:pt>
                <c:pt idx="76">
                  <c:v>1.6858507000000003</c:v>
                </c:pt>
                <c:pt idx="77">
                  <c:v>1.6295589780000002</c:v>
                </c:pt>
                <c:pt idx="78">
                  <c:v>1.574681496</c:v>
                </c:pt>
                <c:pt idx="79">
                  <c:v>1.521151624</c:v>
                </c:pt>
                <c:pt idx="80">
                  <c:v>2.6111516239999997</c:v>
                </c:pt>
              </c:numCache>
            </c:numRef>
          </c:val>
          <c:extLst>
            <c:ext xmlns:c16="http://schemas.microsoft.com/office/drawing/2014/chart" uri="{C3380CC4-5D6E-409C-BE32-E72D297353CC}">
              <c16:uniqueId val="{00000001-A07A-46EE-88A6-AB26277F718A}"/>
            </c:ext>
          </c:extLst>
        </c:ser>
        <c:ser>
          <c:idx val="1"/>
          <c:order val="2"/>
          <c:tx>
            <c:v>Non-household consumption</c:v>
          </c:tx>
          <c:spPr>
            <a:ln w="25400">
              <a:noFill/>
            </a:ln>
          </c:spPr>
          <c:cat>
            <c:strRef>
              <c:f>CAMCAM!$G$23:$CI$23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CAMCAM!$G$370:$CI$370</c:f>
              <c:numCache>
                <c:formatCode>0.00</c:formatCode>
                <c:ptCount val="81"/>
                <c:pt idx="0">
                  <c:v>22.470000000000002</c:v>
                </c:pt>
                <c:pt idx="1">
                  <c:v>23.903559690000005</c:v>
                </c:pt>
                <c:pt idx="2">
                  <c:v>24.547230610000003</c:v>
                </c:pt>
                <c:pt idx="3">
                  <c:v>25.587165660000004</c:v>
                </c:pt>
                <c:pt idx="4">
                  <c:v>26.848108380000003</c:v>
                </c:pt>
                <c:pt idx="5">
                  <c:v>27.821185670000002</c:v>
                </c:pt>
                <c:pt idx="6">
                  <c:v>28.469952140000004</c:v>
                </c:pt>
                <c:pt idx="7">
                  <c:v>29.137201370000003</c:v>
                </c:pt>
                <c:pt idx="8">
                  <c:v>29.800065120000003</c:v>
                </c:pt>
                <c:pt idx="9">
                  <c:v>30.408994180000004</c:v>
                </c:pt>
                <c:pt idx="10">
                  <c:v>30.972555440000004</c:v>
                </c:pt>
                <c:pt idx="11">
                  <c:v>31.539617170000003</c:v>
                </c:pt>
                <c:pt idx="12">
                  <c:v>32.055802209999996</c:v>
                </c:pt>
                <c:pt idx="13">
                  <c:v>32.53902935</c:v>
                </c:pt>
                <c:pt idx="14">
                  <c:v>33.069928449999999</c:v>
                </c:pt>
                <c:pt idx="15">
                  <c:v>33.533209849999999</c:v>
                </c:pt>
                <c:pt idx="16">
                  <c:v>34.017829459999994</c:v>
                </c:pt>
                <c:pt idx="17">
                  <c:v>34.510517379999996</c:v>
                </c:pt>
                <c:pt idx="18">
                  <c:v>34.979892589999999</c:v>
                </c:pt>
                <c:pt idx="19">
                  <c:v>35.41255245</c:v>
                </c:pt>
                <c:pt idx="20">
                  <c:v>35.489511983999996</c:v>
                </c:pt>
                <c:pt idx="21">
                  <c:v>35.566471518999997</c:v>
                </c:pt>
                <c:pt idx="22">
                  <c:v>35.643431053</c:v>
                </c:pt>
                <c:pt idx="23">
                  <c:v>35.720390587999994</c:v>
                </c:pt>
                <c:pt idx="24">
                  <c:v>35.797350121999997</c:v>
                </c:pt>
                <c:pt idx="25">
                  <c:v>35.874309656999998</c:v>
                </c:pt>
                <c:pt idx="26">
                  <c:v>35.951269190999994</c:v>
                </c:pt>
                <c:pt idx="27">
                  <c:v>36.028228725999995</c:v>
                </c:pt>
                <c:pt idx="28">
                  <c:v>36.105188259999998</c:v>
                </c:pt>
                <c:pt idx="29">
                  <c:v>36.182147794999992</c:v>
                </c:pt>
                <c:pt idx="30">
                  <c:v>36.259107328999995</c:v>
                </c:pt>
                <c:pt idx="31">
                  <c:v>36.336066864000003</c:v>
                </c:pt>
                <c:pt idx="32">
                  <c:v>36.413026398</c:v>
                </c:pt>
                <c:pt idx="33">
                  <c:v>36.489985933</c:v>
                </c:pt>
                <c:pt idx="34">
                  <c:v>36.566945466999996</c:v>
                </c:pt>
                <c:pt idx="35">
                  <c:v>36.643905001</c:v>
                </c:pt>
                <c:pt idx="36">
                  <c:v>36.720864535999993</c:v>
                </c:pt>
                <c:pt idx="37">
                  <c:v>36.797824069999997</c:v>
                </c:pt>
                <c:pt idx="38">
                  <c:v>36.874783604999998</c:v>
                </c:pt>
                <c:pt idx="39">
                  <c:v>36.951743138999994</c:v>
                </c:pt>
                <c:pt idx="40">
                  <c:v>37.028702683999995</c:v>
                </c:pt>
                <c:pt idx="41">
                  <c:v>37.105662217999999</c:v>
                </c:pt>
                <c:pt idx="42">
                  <c:v>37.182621752999992</c:v>
                </c:pt>
                <c:pt idx="43">
                  <c:v>37.259581286999996</c:v>
                </c:pt>
                <c:pt idx="44">
                  <c:v>37.336540821999996</c:v>
                </c:pt>
                <c:pt idx="45">
                  <c:v>37.413500355999993</c:v>
                </c:pt>
                <c:pt idx="46">
                  <c:v>37.490459891</c:v>
                </c:pt>
                <c:pt idx="47">
                  <c:v>37.567419424999997</c:v>
                </c:pt>
                <c:pt idx="48">
                  <c:v>37.644378959000001</c:v>
                </c:pt>
                <c:pt idx="49">
                  <c:v>37.721338493999994</c:v>
                </c:pt>
                <c:pt idx="50">
                  <c:v>37.798298027999998</c:v>
                </c:pt>
                <c:pt idx="51">
                  <c:v>37.875257562999998</c:v>
                </c:pt>
                <c:pt idx="52">
                  <c:v>37.952217096999995</c:v>
                </c:pt>
                <c:pt idx="53">
                  <c:v>38.029176631999995</c:v>
                </c:pt>
                <c:pt idx="54">
                  <c:v>38.106136165999999</c:v>
                </c:pt>
                <c:pt idx="55">
                  <c:v>38.183095700999992</c:v>
                </c:pt>
                <c:pt idx="56">
                  <c:v>38.260055234999996</c:v>
                </c:pt>
                <c:pt idx="57">
                  <c:v>38.337014769999996</c:v>
                </c:pt>
                <c:pt idx="58">
                  <c:v>38.413974304</c:v>
                </c:pt>
                <c:pt idx="59">
                  <c:v>38.490933838999993</c:v>
                </c:pt>
                <c:pt idx="60">
                  <c:v>38.567893372999997</c:v>
                </c:pt>
                <c:pt idx="61">
                  <c:v>38.644852908000004</c:v>
                </c:pt>
                <c:pt idx="62">
                  <c:v>38.721812441999994</c:v>
                </c:pt>
                <c:pt idx="63">
                  <c:v>38.798771975999998</c:v>
                </c:pt>
                <c:pt idx="64">
                  <c:v>38.875731510999998</c:v>
                </c:pt>
                <c:pt idx="65">
                  <c:v>38.952691044999995</c:v>
                </c:pt>
                <c:pt idx="66">
                  <c:v>39.029650579999995</c:v>
                </c:pt>
                <c:pt idx="67">
                  <c:v>39.106610113999999</c:v>
                </c:pt>
                <c:pt idx="68">
                  <c:v>39.183569648999999</c:v>
                </c:pt>
                <c:pt idx="69">
                  <c:v>39.260529182999996</c:v>
                </c:pt>
                <c:pt idx="70">
                  <c:v>39.337488717999996</c:v>
                </c:pt>
                <c:pt idx="71">
                  <c:v>39.414448252</c:v>
                </c:pt>
                <c:pt idx="72">
                  <c:v>39.491407786999993</c:v>
                </c:pt>
                <c:pt idx="73">
                  <c:v>39.568367320999997</c:v>
                </c:pt>
                <c:pt idx="74">
                  <c:v>39.645326855999997</c:v>
                </c:pt>
                <c:pt idx="75">
                  <c:v>39.722286389999994</c:v>
                </c:pt>
                <c:pt idx="76">
                  <c:v>39.799245925000001</c:v>
                </c:pt>
                <c:pt idx="77">
                  <c:v>39.876205458999998</c:v>
                </c:pt>
                <c:pt idx="78">
                  <c:v>39.953164992999994</c:v>
                </c:pt>
                <c:pt idx="79">
                  <c:v>39.953164992999994</c:v>
                </c:pt>
                <c:pt idx="80">
                  <c:v>39.953164992999994</c:v>
                </c:pt>
              </c:numCache>
            </c:numRef>
          </c:val>
          <c:extLst>
            <c:ext xmlns:c16="http://schemas.microsoft.com/office/drawing/2014/chart" uri="{C3380CC4-5D6E-409C-BE32-E72D297353CC}">
              <c16:uniqueId val="{00000002-A07A-46EE-88A6-AB26277F718A}"/>
            </c:ext>
          </c:extLst>
        </c:ser>
        <c:ser>
          <c:idx val="2"/>
          <c:order val="3"/>
          <c:tx>
            <c:v>Total leakage</c:v>
          </c:tx>
          <c:spPr>
            <a:ln w="25400">
              <a:noFill/>
            </a:ln>
          </c:spPr>
          <c:cat>
            <c:strRef>
              <c:f>CAMCAM!$G$23:$CI$23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CAMCAM!$G$371:$CI$371</c:f>
              <c:numCache>
                <c:formatCode>0.00</c:formatCode>
                <c:ptCount val="81"/>
                <c:pt idx="0">
                  <c:v>13.5</c:v>
                </c:pt>
                <c:pt idx="1">
                  <c:v>13.5</c:v>
                </c:pt>
                <c:pt idx="2">
                  <c:v>13.510000000000002</c:v>
                </c:pt>
                <c:pt idx="3">
                  <c:v>13.510000000000002</c:v>
                </c:pt>
                <c:pt idx="4">
                  <c:v>13.510000000000002</c:v>
                </c:pt>
                <c:pt idx="5">
                  <c:v>13.2</c:v>
                </c:pt>
                <c:pt idx="6">
                  <c:v>13.2</c:v>
                </c:pt>
                <c:pt idx="7">
                  <c:v>13.2</c:v>
                </c:pt>
                <c:pt idx="8">
                  <c:v>13.2</c:v>
                </c:pt>
                <c:pt idx="9">
                  <c:v>13.2</c:v>
                </c:pt>
                <c:pt idx="10">
                  <c:v>13.2</c:v>
                </c:pt>
                <c:pt idx="11">
                  <c:v>13.2</c:v>
                </c:pt>
                <c:pt idx="12">
                  <c:v>13.2</c:v>
                </c:pt>
                <c:pt idx="13">
                  <c:v>13.2</c:v>
                </c:pt>
                <c:pt idx="14">
                  <c:v>13.2</c:v>
                </c:pt>
                <c:pt idx="15">
                  <c:v>13.2</c:v>
                </c:pt>
                <c:pt idx="16">
                  <c:v>13.2</c:v>
                </c:pt>
                <c:pt idx="17">
                  <c:v>13.2</c:v>
                </c:pt>
                <c:pt idx="18">
                  <c:v>13.2</c:v>
                </c:pt>
                <c:pt idx="19">
                  <c:v>13.2</c:v>
                </c:pt>
                <c:pt idx="20">
                  <c:v>13.2</c:v>
                </c:pt>
                <c:pt idx="21">
                  <c:v>13.2</c:v>
                </c:pt>
                <c:pt idx="22">
                  <c:v>13.2</c:v>
                </c:pt>
                <c:pt idx="23">
                  <c:v>13.2</c:v>
                </c:pt>
                <c:pt idx="24">
                  <c:v>13.2</c:v>
                </c:pt>
                <c:pt idx="25">
                  <c:v>13.2</c:v>
                </c:pt>
                <c:pt idx="26">
                  <c:v>13.2</c:v>
                </c:pt>
                <c:pt idx="27">
                  <c:v>13.2</c:v>
                </c:pt>
                <c:pt idx="28">
                  <c:v>13.2</c:v>
                </c:pt>
                <c:pt idx="29">
                  <c:v>13.2</c:v>
                </c:pt>
                <c:pt idx="30">
                  <c:v>13.2</c:v>
                </c:pt>
                <c:pt idx="31">
                  <c:v>13.2</c:v>
                </c:pt>
                <c:pt idx="32">
                  <c:v>13.2</c:v>
                </c:pt>
                <c:pt idx="33">
                  <c:v>13.2</c:v>
                </c:pt>
                <c:pt idx="34">
                  <c:v>13.2</c:v>
                </c:pt>
                <c:pt idx="35">
                  <c:v>13.2</c:v>
                </c:pt>
                <c:pt idx="36">
                  <c:v>13.2</c:v>
                </c:pt>
                <c:pt idx="37">
                  <c:v>13.2</c:v>
                </c:pt>
                <c:pt idx="38">
                  <c:v>13.2</c:v>
                </c:pt>
                <c:pt idx="39">
                  <c:v>13.2</c:v>
                </c:pt>
                <c:pt idx="40">
                  <c:v>13.2</c:v>
                </c:pt>
                <c:pt idx="41">
                  <c:v>13.2</c:v>
                </c:pt>
                <c:pt idx="42">
                  <c:v>13.2</c:v>
                </c:pt>
                <c:pt idx="43">
                  <c:v>13.2</c:v>
                </c:pt>
                <c:pt idx="44">
                  <c:v>13.2</c:v>
                </c:pt>
                <c:pt idx="45">
                  <c:v>13.2</c:v>
                </c:pt>
                <c:pt idx="46">
                  <c:v>13.2</c:v>
                </c:pt>
                <c:pt idx="47">
                  <c:v>13.2</c:v>
                </c:pt>
                <c:pt idx="48">
                  <c:v>13.2</c:v>
                </c:pt>
                <c:pt idx="49">
                  <c:v>13.2</c:v>
                </c:pt>
                <c:pt idx="50">
                  <c:v>13.2</c:v>
                </c:pt>
                <c:pt idx="51">
                  <c:v>13.2</c:v>
                </c:pt>
                <c:pt idx="52">
                  <c:v>13.2</c:v>
                </c:pt>
                <c:pt idx="53">
                  <c:v>13.2</c:v>
                </c:pt>
                <c:pt idx="54">
                  <c:v>13.2</c:v>
                </c:pt>
                <c:pt idx="55">
                  <c:v>13.2</c:v>
                </c:pt>
                <c:pt idx="56">
                  <c:v>13.2</c:v>
                </c:pt>
                <c:pt idx="57">
                  <c:v>13.2</c:v>
                </c:pt>
                <c:pt idx="58">
                  <c:v>13.2</c:v>
                </c:pt>
                <c:pt idx="59">
                  <c:v>13.2</c:v>
                </c:pt>
                <c:pt idx="60">
                  <c:v>13.2</c:v>
                </c:pt>
                <c:pt idx="61">
                  <c:v>13.2</c:v>
                </c:pt>
                <c:pt idx="62">
                  <c:v>13.2</c:v>
                </c:pt>
                <c:pt idx="63">
                  <c:v>13.2</c:v>
                </c:pt>
                <c:pt idx="64">
                  <c:v>13.2</c:v>
                </c:pt>
                <c:pt idx="65">
                  <c:v>13.2</c:v>
                </c:pt>
                <c:pt idx="66">
                  <c:v>13.2</c:v>
                </c:pt>
                <c:pt idx="67">
                  <c:v>13.2</c:v>
                </c:pt>
                <c:pt idx="68">
                  <c:v>13.2</c:v>
                </c:pt>
                <c:pt idx="69">
                  <c:v>13.2</c:v>
                </c:pt>
                <c:pt idx="70">
                  <c:v>13.2</c:v>
                </c:pt>
                <c:pt idx="71">
                  <c:v>13.2</c:v>
                </c:pt>
                <c:pt idx="72">
                  <c:v>13.2</c:v>
                </c:pt>
                <c:pt idx="73">
                  <c:v>13.2</c:v>
                </c:pt>
                <c:pt idx="74">
                  <c:v>13.2</c:v>
                </c:pt>
                <c:pt idx="75">
                  <c:v>13.2</c:v>
                </c:pt>
                <c:pt idx="76">
                  <c:v>13.2</c:v>
                </c:pt>
                <c:pt idx="77">
                  <c:v>13.2</c:v>
                </c:pt>
                <c:pt idx="78">
                  <c:v>13.2</c:v>
                </c:pt>
                <c:pt idx="79">
                  <c:v>13.2</c:v>
                </c:pt>
                <c:pt idx="80">
                  <c:v>13.2</c:v>
                </c:pt>
              </c:numCache>
            </c:numRef>
          </c:val>
          <c:extLst>
            <c:ext xmlns:c16="http://schemas.microsoft.com/office/drawing/2014/chart" uri="{C3380CC4-5D6E-409C-BE32-E72D297353CC}">
              <c16:uniqueId val="{00000003-A07A-46EE-88A6-AB26277F718A}"/>
            </c:ext>
          </c:extLst>
        </c:ser>
        <c:ser>
          <c:idx val="3"/>
          <c:order val="4"/>
          <c:tx>
            <c:v>Other components of demand</c:v>
          </c:tx>
          <c:spPr>
            <a:ln w="25400">
              <a:noFill/>
            </a:ln>
          </c:spPr>
          <c:cat>
            <c:strRef>
              <c:f>CAMCAM!$G$23:$CI$23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CAMCAM!$G$372:$CI$372</c:f>
              <c:numCache>
                <c:formatCode>0.00</c:formatCode>
                <c:ptCount val="81"/>
                <c:pt idx="0">
                  <c:v>0.54000000000000625</c:v>
                </c:pt>
                <c:pt idx="1">
                  <c:v>0.54000000000000625</c:v>
                </c:pt>
                <c:pt idx="2">
                  <c:v>0.54000000000000625</c:v>
                </c:pt>
                <c:pt idx="3">
                  <c:v>0.53999999999997783</c:v>
                </c:pt>
                <c:pt idx="4">
                  <c:v>0.54000000000000625</c:v>
                </c:pt>
                <c:pt idx="5">
                  <c:v>0.54000000000000625</c:v>
                </c:pt>
                <c:pt idx="6">
                  <c:v>0.53999999999997783</c:v>
                </c:pt>
                <c:pt idx="7">
                  <c:v>0.53999999999999204</c:v>
                </c:pt>
                <c:pt idx="8">
                  <c:v>0.53999999999999204</c:v>
                </c:pt>
                <c:pt idx="9">
                  <c:v>0.54000000000000625</c:v>
                </c:pt>
                <c:pt idx="10">
                  <c:v>0.53999999999999204</c:v>
                </c:pt>
                <c:pt idx="11">
                  <c:v>0.53999999999999204</c:v>
                </c:pt>
                <c:pt idx="12">
                  <c:v>0.53999999999999204</c:v>
                </c:pt>
                <c:pt idx="13">
                  <c:v>0.53999999999999204</c:v>
                </c:pt>
                <c:pt idx="14">
                  <c:v>0.54000000000000625</c:v>
                </c:pt>
                <c:pt idx="15">
                  <c:v>0.54000000000000625</c:v>
                </c:pt>
                <c:pt idx="16">
                  <c:v>0.54000000000000625</c:v>
                </c:pt>
                <c:pt idx="17">
                  <c:v>0.54000000000000625</c:v>
                </c:pt>
                <c:pt idx="18">
                  <c:v>0.53999999999999204</c:v>
                </c:pt>
                <c:pt idx="19">
                  <c:v>0.54000000000000625</c:v>
                </c:pt>
                <c:pt idx="20">
                  <c:v>0.53999999999999204</c:v>
                </c:pt>
                <c:pt idx="21">
                  <c:v>0.54000000000000625</c:v>
                </c:pt>
                <c:pt idx="22">
                  <c:v>0.54000000000000625</c:v>
                </c:pt>
                <c:pt idx="23">
                  <c:v>0.53999999999999204</c:v>
                </c:pt>
                <c:pt idx="24">
                  <c:v>0.53999999999999204</c:v>
                </c:pt>
                <c:pt idx="25">
                  <c:v>0.54000000000000625</c:v>
                </c:pt>
                <c:pt idx="26">
                  <c:v>0.53999999999999204</c:v>
                </c:pt>
                <c:pt idx="27">
                  <c:v>0.54000000000000625</c:v>
                </c:pt>
                <c:pt idx="28">
                  <c:v>0.53999999999999204</c:v>
                </c:pt>
                <c:pt idx="29">
                  <c:v>0.53999999999999204</c:v>
                </c:pt>
                <c:pt idx="30">
                  <c:v>0.54000000000000625</c:v>
                </c:pt>
                <c:pt idx="31">
                  <c:v>0.54000000000000625</c:v>
                </c:pt>
                <c:pt idx="32">
                  <c:v>0.53999999999999204</c:v>
                </c:pt>
                <c:pt idx="33">
                  <c:v>0.53999999999999204</c:v>
                </c:pt>
                <c:pt idx="34">
                  <c:v>0.54000000000000625</c:v>
                </c:pt>
                <c:pt idx="35">
                  <c:v>0.54000000000000625</c:v>
                </c:pt>
                <c:pt idx="36">
                  <c:v>0.54000000000000625</c:v>
                </c:pt>
                <c:pt idx="37">
                  <c:v>0.54000000000000625</c:v>
                </c:pt>
                <c:pt idx="38">
                  <c:v>0.54000000000000625</c:v>
                </c:pt>
                <c:pt idx="39">
                  <c:v>0.54000000000000625</c:v>
                </c:pt>
                <c:pt idx="40">
                  <c:v>0.54000000000000625</c:v>
                </c:pt>
                <c:pt idx="41">
                  <c:v>0.54000000000000625</c:v>
                </c:pt>
                <c:pt idx="42">
                  <c:v>0.54000000000000625</c:v>
                </c:pt>
                <c:pt idx="43">
                  <c:v>0.54000000000000625</c:v>
                </c:pt>
                <c:pt idx="44">
                  <c:v>0.54000000000000625</c:v>
                </c:pt>
                <c:pt idx="45">
                  <c:v>0.54000000000000625</c:v>
                </c:pt>
                <c:pt idx="46">
                  <c:v>0.54000000000000625</c:v>
                </c:pt>
                <c:pt idx="47">
                  <c:v>0.54000000000000625</c:v>
                </c:pt>
                <c:pt idx="48">
                  <c:v>0.54000000000000625</c:v>
                </c:pt>
                <c:pt idx="49">
                  <c:v>0.54000000000000625</c:v>
                </c:pt>
                <c:pt idx="50">
                  <c:v>0.54000000000000625</c:v>
                </c:pt>
                <c:pt idx="51">
                  <c:v>0.53999999999999204</c:v>
                </c:pt>
                <c:pt idx="52">
                  <c:v>0.54000000000000625</c:v>
                </c:pt>
                <c:pt idx="53">
                  <c:v>0.54000000000000625</c:v>
                </c:pt>
                <c:pt idx="54">
                  <c:v>0.54000000000000625</c:v>
                </c:pt>
                <c:pt idx="55">
                  <c:v>0.53999999999999204</c:v>
                </c:pt>
                <c:pt idx="56">
                  <c:v>0.54000000000000625</c:v>
                </c:pt>
                <c:pt idx="57">
                  <c:v>0.54000000000000625</c:v>
                </c:pt>
                <c:pt idx="58">
                  <c:v>0.54000000000000625</c:v>
                </c:pt>
                <c:pt idx="59">
                  <c:v>0.54000000000000625</c:v>
                </c:pt>
                <c:pt idx="60">
                  <c:v>0.53999999999999204</c:v>
                </c:pt>
                <c:pt idx="61">
                  <c:v>0.54000000000000625</c:v>
                </c:pt>
                <c:pt idx="62">
                  <c:v>0.54000000000000625</c:v>
                </c:pt>
                <c:pt idx="63">
                  <c:v>0.53999999999999204</c:v>
                </c:pt>
                <c:pt idx="64">
                  <c:v>0.53999999999999204</c:v>
                </c:pt>
                <c:pt idx="65">
                  <c:v>0.54000000000000625</c:v>
                </c:pt>
                <c:pt idx="66">
                  <c:v>0.54000000000000625</c:v>
                </c:pt>
                <c:pt idx="67">
                  <c:v>0.54000000000000625</c:v>
                </c:pt>
                <c:pt idx="68">
                  <c:v>0.54000000000000625</c:v>
                </c:pt>
                <c:pt idx="69">
                  <c:v>0.54000000000000625</c:v>
                </c:pt>
                <c:pt idx="70">
                  <c:v>0.53999999999999204</c:v>
                </c:pt>
                <c:pt idx="71">
                  <c:v>0.53999999999999204</c:v>
                </c:pt>
                <c:pt idx="72">
                  <c:v>0.54000000000000625</c:v>
                </c:pt>
                <c:pt idx="73">
                  <c:v>0.54000000000000625</c:v>
                </c:pt>
                <c:pt idx="74">
                  <c:v>0.54000000000000625</c:v>
                </c:pt>
                <c:pt idx="75">
                  <c:v>0.53999999999999204</c:v>
                </c:pt>
                <c:pt idx="76">
                  <c:v>0.53999999999999204</c:v>
                </c:pt>
                <c:pt idx="77">
                  <c:v>0.54000000000000625</c:v>
                </c:pt>
                <c:pt idx="78">
                  <c:v>0.54000000000000625</c:v>
                </c:pt>
                <c:pt idx="79">
                  <c:v>0.54000000000000625</c:v>
                </c:pt>
                <c:pt idx="80">
                  <c:v>0.54000000000000625</c:v>
                </c:pt>
              </c:numCache>
            </c:numRef>
          </c:val>
          <c:extLst>
            <c:ext xmlns:c16="http://schemas.microsoft.com/office/drawing/2014/chart" uri="{C3380CC4-5D6E-409C-BE32-E72D297353CC}">
              <c16:uniqueId val="{00000004-A07A-46EE-88A6-AB26277F718A}"/>
            </c:ext>
          </c:extLst>
        </c:ser>
        <c:dLbls>
          <c:showLegendKey val="0"/>
          <c:showVal val="0"/>
          <c:showCatName val="0"/>
          <c:showSerName val="0"/>
          <c:showPercent val="0"/>
          <c:showBubbleSize val="0"/>
        </c:dLbls>
        <c:axId val="-1198618624"/>
        <c:axId val="-1198623520"/>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CAMCAM!$G$373:$CI$373</c:f>
              <c:numCache>
                <c:formatCode>0.00</c:formatCode>
                <c:ptCount val="81"/>
                <c:pt idx="0">
                  <c:v>91.100000000000009</c:v>
                </c:pt>
                <c:pt idx="1">
                  <c:v>91.100000000000009</c:v>
                </c:pt>
                <c:pt idx="2">
                  <c:v>91.100000000000009</c:v>
                </c:pt>
                <c:pt idx="3">
                  <c:v>91.100000000000009</c:v>
                </c:pt>
                <c:pt idx="4">
                  <c:v>91.100000000000009</c:v>
                </c:pt>
                <c:pt idx="5">
                  <c:v>89.100000000000009</c:v>
                </c:pt>
                <c:pt idx="6">
                  <c:v>87.767847338129513</c:v>
                </c:pt>
                <c:pt idx="7">
                  <c:v>87.619947338129521</c:v>
                </c:pt>
                <c:pt idx="8">
                  <c:v>87.112047338129514</c:v>
                </c:pt>
                <c:pt idx="9">
                  <c:v>86.964147338129521</c:v>
                </c:pt>
                <c:pt idx="10">
                  <c:v>86.816247338129514</c:v>
                </c:pt>
                <c:pt idx="11">
                  <c:v>68.658347338129516</c:v>
                </c:pt>
                <c:pt idx="12">
                  <c:v>68.510447338129509</c:v>
                </c:pt>
                <c:pt idx="13">
                  <c:v>68.362547338129517</c:v>
                </c:pt>
                <c:pt idx="14">
                  <c:v>68.21464733812951</c:v>
                </c:pt>
                <c:pt idx="15">
                  <c:v>68.066747338129517</c:v>
                </c:pt>
                <c:pt idx="16">
                  <c:v>67.91884733812951</c:v>
                </c:pt>
                <c:pt idx="17">
                  <c:v>67.770947338129517</c:v>
                </c:pt>
                <c:pt idx="18">
                  <c:v>67.62304733812951</c:v>
                </c:pt>
                <c:pt idx="19">
                  <c:v>67.475147338129517</c:v>
                </c:pt>
                <c:pt idx="20">
                  <c:v>67.32724733812951</c:v>
                </c:pt>
                <c:pt idx="21">
                  <c:v>35.290000000000006</c:v>
                </c:pt>
                <c:pt idx="22">
                  <c:v>35.290000000000006</c:v>
                </c:pt>
                <c:pt idx="23">
                  <c:v>35.290000000000006</c:v>
                </c:pt>
                <c:pt idx="24">
                  <c:v>35.290000000000006</c:v>
                </c:pt>
                <c:pt idx="25">
                  <c:v>35.290000000000006</c:v>
                </c:pt>
                <c:pt idx="26">
                  <c:v>35.290000000000006</c:v>
                </c:pt>
                <c:pt idx="27">
                  <c:v>35.290000000000006</c:v>
                </c:pt>
                <c:pt idx="28">
                  <c:v>35.290000000000006</c:v>
                </c:pt>
                <c:pt idx="29">
                  <c:v>35.290000000000006</c:v>
                </c:pt>
                <c:pt idx="30">
                  <c:v>35.290000000000006</c:v>
                </c:pt>
                <c:pt idx="31">
                  <c:v>35.290000000000006</c:v>
                </c:pt>
                <c:pt idx="32">
                  <c:v>35.290000000000006</c:v>
                </c:pt>
                <c:pt idx="33">
                  <c:v>35.290000000000006</c:v>
                </c:pt>
                <c:pt idx="34">
                  <c:v>35.290000000000006</c:v>
                </c:pt>
                <c:pt idx="35">
                  <c:v>35.290000000000006</c:v>
                </c:pt>
                <c:pt idx="36">
                  <c:v>35.290000000000006</c:v>
                </c:pt>
                <c:pt idx="37">
                  <c:v>35.290000000000006</c:v>
                </c:pt>
                <c:pt idx="38">
                  <c:v>35.290000000000006</c:v>
                </c:pt>
                <c:pt idx="39">
                  <c:v>35.290000000000006</c:v>
                </c:pt>
                <c:pt idx="40">
                  <c:v>35.290000000000006</c:v>
                </c:pt>
                <c:pt idx="41">
                  <c:v>35.290000000000006</c:v>
                </c:pt>
                <c:pt idx="42">
                  <c:v>35.290000000000006</c:v>
                </c:pt>
                <c:pt idx="43">
                  <c:v>35.290000000000006</c:v>
                </c:pt>
                <c:pt idx="44">
                  <c:v>35.290000000000006</c:v>
                </c:pt>
                <c:pt idx="45">
                  <c:v>35.290000000000006</c:v>
                </c:pt>
                <c:pt idx="46">
                  <c:v>35.290000000000006</c:v>
                </c:pt>
                <c:pt idx="47">
                  <c:v>35.290000000000006</c:v>
                </c:pt>
                <c:pt idx="48">
                  <c:v>35.290000000000006</c:v>
                </c:pt>
                <c:pt idx="49">
                  <c:v>35.290000000000006</c:v>
                </c:pt>
                <c:pt idx="50">
                  <c:v>35.290000000000006</c:v>
                </c:pt>
                <c:pt idx="51">
                  <c:v>35.290000000000006</c:v>
                </c:pt>
                <c:pt idx="52">
                  <c:v>35.290000000000006</c:v>
                </c:pt>
                <c:pt idx="53">
                  <c:v>35.290000000000006</c:v>
                </c:pt>
                <c:pt idx="54">
                  <c:v>35.290000000000006</c:v>
                </c:pt>
                <c:pt idx="55">
                  <c:v>35.290000000000006</c:v>
                </c:pt>
                <c:pt idx="56">
                  <c:v>35.290000000000006</c:v>
                </c:pt>
                <c:pt idx="57">
                  <c:v>35.290000000000006</c:v>
                </c:pt>
                <c:pt idx="58">
                  <c:v>35.290000000000006</c:v>
                </c:pt>
                <c:pt idx="59">
                  <c:v>35.290000000000006</c:v>
                </c:pt>
                <c:pt idx="60">
                  <c:v>35.290000000000006</c:v>
                </c:pt>
                <c:pt idx="61">
                  <c:v>35.290000000000006</c:v>
                </c:pt>
                <c:pt idx="62">
                  <c:v>35.290000000000006</c:v>
                </c:pt>
                <c:pt idx="63">
                  <c:v>35.290000000000006</c:v>
                </c:pt>
                <c:pt idx="64">
                  <c:v>35.290000000000006</c:v>
                </c:pt>
                <c:pt idx="65">
                  <c:v>35.290000000000006</c:v>
                </c:pt>
                <c:pt idx="66">
                  <c:v>35.290000000000006</c:v>
                </c:pt>
                <c:pt idx="67">
                  <c:v>35.290000000000006</c:v>
                </c:pt>
                <c:pt idx="68">
                  <c:v>35.290000000000006</c:v>
                </c:pt>
                <c:pt idx="69">
                  <c:v>35.290000000000006</c:v>
                </c:pt>
                <c:pt idx="70">
                  <c:v>35.290000000000006</c:v>
                </c:pt>
                <c:pt idx="71">
                  <c:v>35.290000000000006</c:v>
                </c:pt>
                <c:pt idx="72">
                  <c:v>35.290000000000006</c:v>
                </c:pt>
                <c:pt idx="73">
                  <c:v>35.290000000000006</c:v>
                </c:pt>
                <c:pt idx="74">
                  <c:v>35.290000000000006</c:v>
                </c:pt>
                <c:pt idx="75">
                  <c:v>35.290000000000006</c:v>
                </c:pt>
                <c:pt idx="76">
                  <c:v>35.290000000000006</c:v>
                </c:pt>
                <c:pt idx="77">
                  <c:v>35.290000000000006</c:v>
                </c:pt>
                <c:pt idx="78">
                  <c:v>35.290000000000006</c:v>
                </c:pt>
                <c:pt idx="79">
                  <c:v>35.290000000000006</c:v>
                </c:pt>
                <c:pt idx="80">
                  <c:v>35.290000000000006</c:v>
                </c:pt>
              </c:numCache>
            </c:numRef>
          </c:val>
          <c:smooth val="0"/>
          <c:extLst>
            <c:ext xmlns:c16="http://schemas.microsoft.com/office/drawing/2014/chart" uri="{C3380CC4-5D6E-409C-BE32-E72D297353CC}">
              <c16:uniqueId val="{00000005-A07A-46EE-88A6-AB26277F718A}"/>
            </c:ext>
          </c:extLst>
        </c:ser>
        <c:ser>
          <c:idx val="5"/>
          <c:order val="6"/>
          <c:tx>
            <c:v>Total demand + target headroom (baseline)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CAMCAM!$G$374:$CI$374</c:f>
              <c:numCache>
                <c:formatCode>0.00</c:formatCode>
                <c:ptCount val="81"/>
                <c:pt idx="0">
                  <c:v>87.984627709999998</c:v>
                </c:pt>
                <c:pt idx="1">
                  <c:v>85.58818740000001</c:v>
                </c:pt>
                <c:pt idx="2">
                  <c:v>88.255622770241132</c:v>
                </c:pt>
                <c:pt idx="3">
                  <c:v>88.557216185445483</c:v>
                </c:pt>
                <c:pt idx="4">
                  <c:v>88.167506693293888</c:v>
                </c:pt>
                <c:pt idx="5">
                  <c:v>89.806733301980373</c:v>
                </c:pt>
                <c:pt idx="6">
                  <c:v>91.286530569870337</c:v>
                </c:pt>
                <c:pt idx="7">
                  <c:v>92.571975317290182</c:v>
                </c:pt>
                <c:pt idx="8">
                  <c:v>94.237141080260528</c:v>
                </c:pt>
                <c:pt idx="9">
                  <c:v>95.409159202635905</c:v>
                </c:pt>
                <c:pt idx="10">
                  <c:v>95.421328825812196</c:v>
                </c:pt>
                <c:pt idx="11">
                  <c:v>96.397279616043193</c:v>
                </c:pt>
                <c:pt idx="12">
                  <c:v>97.386885970423904</c:v>
                </c:pt>
                <c:pt idx="13">
                  <c:v>98.179745076057685</c:v>
                </c:pt>
                <c:pt idx="14">
                  <c:v>99.223641826068189</c:v>
                </c:pt>
                <c:pt idx="15">
                  <c:v>98.674976311229713</c:v>
                </c:pt>
                <c:pt idx="16">
                  <c:v>99.36925893712349</c:v>
                </c:pt>
                <c:pt idx="17">
                  <c:v>100.19370443003773</c:v>
                </c:pt>
                <c:pt idx="18">
                  <c:v>100.97895570184303</c:v>
                </c:pt>
                <c:pt idx="19">
                  <c:v>101.69493071782918</c:v>
                </c:pt>
                <c:pt idx="20">
                  <c:v>101.94007194560281</c:v>
                </c:pt>
                <c:pt idx="21">
                  <c:v>102.12234972672306</c:v>
                </c:pt>
                <c:pt idx="22">
                  <c:v>102.47767875704554</c:v>
                </c:pt>
                <c:pt idx="23">
                  <c:v>102.87940148732623</c:v>
                </c:pt>
                <c:pt idx="24">
                  <c:v>103.09178756681524</c:v>
                </c:pt>
                <c:pt idx="25">
                  <c:v>103.35210253166736</c:v>
                </c:pt>
                <c:pt idx="26">
                  <c:v>103.67243227478512</c:v>
                </c:pt>
                <c:pt idx="27">
                  <c:v>103.79549617727177</c:v>
                </c:pt>
                <c:pt idx="28">
                  <c:v>103.99255477661781</c:v>
                </c:pt>
                <c:pt idx="29">
                  <c:v>104.21235681444855</c:v>
                </c:pt>
                <c:pt idx="30">
                  <c:v>104.31007977206848</c:v>
                </c:pt>
                <c:pt idx="31">
                  <c:v>104.4813087209382</c:v>
                </c:pt>
                <c:pt idx="32">
                  <c:v>104.56506197228356</c:v>
                </c:pt>
                <c:pt idx="33">
                  <c:v>104.77167045309901</c:v>
                </c:pt>
                <c:pt idx="34">
                  <c:v>104.8039833943804</c:v>
                </c:pt>
                <c:pt idx="35">
                  <c:v>104.80812725331693</c:v>
                </c:pt>
                <c:pt idx="36">
                  <c:v>104.97998267843785</c:v>
                </c:pt>
                <c:pt idx="37">
                  <c:v>104.99696545941366</c:v>
                </c:pt>
                <c:pt idx="38">
                  <c:v>105.07939663267781</c:v>
                </c:pt>
                <c:pt idx="39">
                  <c:v>105.1009701747769</c:v>
                </c:pt>
                <c:pt idx="40">
                  <c:v>105.12053772229035</c:v>
                </c:pt>
                <c:pt idx="41">
                  <c:v>105.24181926798491</c:v>
                </c:pt>
                <c:pt idx="42">
                  <c:v>105.16427730660634</c:v>
                </c:pt>
                <c:pt idx="43">
                  <c:v>105.44079883413936</c:v>
                </c:pt>
                <c:pt idx="44">
                  <c:v>105.47565852403214</c:v>
                </c:pt>
                <c:pt idx="45">
                  <c:v>105.54307107786404</c:v>
                </c:pt>
                <c:pt idx="46">
                  <c:v>105.61002140830023</c:v>
                </c:pt>
                <c:pt idx="47">
                  <c:v>105.63518409042233</c:v>
                </c:pt>
                <c:pt idx="48">
                  <c:v>105.69815881644884</c:v>
                </c:pt>
                <c:pt idx="49">
                  <c:v>105.67678155839081</c:v>
                </c:pt>
                <c:pt idx="50">
                  <c:v>105.92000974576287</c:v>
                </c:pt>
                <c:pt idx="51">
                  <c:v>105.92756519706658</c:v>
                </c:pt>
                <c:pt idx="52">
                  <c:v>105.91406265151251</c:v>
                </c:pt>
                <c:pt idx="53">
                  <c:v>105.90868762538561</c:v>
                </c:pt>
                <c:pt idx="54">
                  <c:v>105.96412341771716</c:v>
                </c:pt>
                <c:pt idx="55">
                  <c:v>106.63183856102403</c:v>
                </c:pt>
                <c:pt idx="56">
                  <c:v>106.42456331497408</c:v>
                </c:pt>
                <c:pt idx="57">
                  <c:v>106.52401551230734</c:v>
                </c:pt>
                <c:pt idx="58">
                  <c:v>106.5734612281483</c:v>
                </c:pt>
                <c:pt idx="59">
                  <c:v>106.90271511896744</c:v>
                </c:pt>
                <c:pt idx="60">
                  <c:v>106.90386939911726</c:v>
                </c:pt>
                <c:pt idx="61">
                  <c:v>106.84717805983938</c:v>
                </c:pt>
                <c:pt idx="62">
                  <c:v>107.09086269694238</c:v>
                </c:pt>
                <c:pt idx="63">
                  <c:v>107.29447217259833</c:v>
                </c:pt>
                <c:pt idx="64">
                  <c:v>107.58145845210491</c:v>
                </c:pt>
                <c:pt idx="65">
                  <c:v>107.52223965347383</c:v>
                </c:pt>
                <c:pt idx="66">
                  <c:v>107.70780273590719</c:v>
                </c:pt>
                <c:pt idx="67">
                  <c:v>107.64671129947246</c:v>
                </c:pt>
                <c:pt idx="68">
                  <c:v>107.94112721090326</c:v>
                </c:pt>
                <c:pt idx="69">
                  <c:v>108.14334133982115</c:v>
                </c:pt>
                <c:pt idx="70">
                  <c:v>108.39936707232894</c:v>
                </c:pt>
                <c:pt idx="71">
                  <c:v>108.70524638439994</c:v>
                </c:pt>
                <c:pt idx="72">
                  <c:v>108.72858475634045</c:v>
                </c:pt>
                <c:pt idx="73">
                  <c:v>108.75720769762523</c:v>
                </c:pt>
                <c:pt idx="74">
                  <c:v>109.06357545082821</c:v>
                </c:pt>
                <c:pt idx="75">
                  <c:v>109.054428711388</c:v>
                </c:pt>
                <c:pt idx="76">
                  <c:v>109.2606787675154</c:v>
                </c:pt>
                <c:pt idx="77">
                  <c:v>109.29345191405694</c:v>
                </c:pt>
                <c:pt idx="78">
                  <c:v>109.61070029213097</c:v>
                </c:pt>
                <c:pt idx="79">
                  <c:v>109.69407409051584</c:v>
                </c:pt>
                <c:pt idx="80">
                  <c:v>113.80218434731408</c:v>
                </c:pt>
              </c:numCache>
            </c:numRef>
          </c:val>
          <c:smooth val="0"/>
          <c:extLst>
            <c:ext xmlns:c16="http://schemas.microsoft.com/office/drawing/2014/chart" uri="{C3380CC4-5D6E-409C-BE32-E72D297353CC}">
              <c16:uniqueId val="{00000006-A07A-46EE-88A6-AB26277F718A}"/>
            </c:ext>
          </c:extLst>
        </c:ser>
        <c:dLbls>
          <c:showLegendKey val="0"/>
          <c:showVal val="0"/>
          <c:showCatName val="0"/>
          <c:showSerName val="0"/>
          <c:showPercent val="0"/>
          <c:showBubbleSize val="0"/>
        </c:dLbls>
        <c:marker val="1"/>
        <c:smooth val="0"/>
        <c:axId val="-1198618624"/>
        <c:axId val="-1198623520"/>
      </c:lineChart>
      <c:catAx>
        <c:axId val="-1198618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198623520"/>
        <c:crosses val="autoZero"/>
        <c:auto val="1"/>
        <c:lblAlgn val="ctr"/>
        <c:lblOffset val="100"/>
        <c:tickLblSkip val="2"/>
        <c:tickMarkSkip val="1"/>
        <c:noMultiLvlLbl val="0"/>
      </c:catAx>
      <c:valAx>
        <c:axId val="-1198623520"/>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98618624"/>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9.1105654439764136E-2"/>
          <c:y val="0.82158446545736608"/>
          <c:w val="0.87020219822280731"/>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2"/>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DYAA Final Plan Water Supply-Demand Balance and Components of Demand</a:t>
            </a:r>
          </a:p>
        </c:rich>
      </c:tx>
      <c:layout>
        <c:manualLayout>
          <c:xMode val="edge"/>
          <c:yMode val="edge"/>
          <c:x val="0.12774658545574274"/>
          <c:y val="6.121218722776595E-3"/>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CAMCAM!$G$23:$CI$23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CAMCAM!$G$377:$CI$377</c:f>
              <c:numCache>
                <c:formatCode>0.00</c:formatCode>
                <c:ptCount val="81"/>
                <c:pt idx="0">
                  <c:v>33.913543599999997</c:v>
                </c:pt>
                <c:pt idx="1">
                  <c:v>31.303543599999998</c:v>
                </c:pt>
                <c:pt idx="2">
                  <c:v>31.310182560000001</c:v>
                </c:pt>
                <c:pt idx="3">
                  <c:v>31.166843640000003</c:v>
                </c:pt>
                <c:pt idx="4">
                  <c:v>30.956313270000003</c:v>
                </c:pt>
                <c:pt idx="5">
                  <c:v>32.093497130000003</c:v>
                </c:pt>
                <c:pt idx="6">
                  <c:v>33.434408818181815</c:v>
                </c:pt>
                <c:pt idx="7">
                  <c:v>34.943108046363641</c:v>
                </c:pt>
                <c:pt idx="8">
                  <c:v>36.433408554545451</c:v>
                </c:pt>
                <c:pt idx="9">
                  <c:v>37.836490002727281</c:v>
                </c:pt>
                <c:pt idx="10">
                  <c:v>38.977289217977415</c:v>
                </c:pt>
                <c:pt idx="11">
                  <c:v>40.046279357208604</c:v>
                </c:pt>
                <c:pt idx="12">
                  <c:v>41.002158866695858</c:v>
                </c:pt>
                <c:pt idx="13">
                  <c:v>41.960196329567573</c:v>
                </c:pt>
                <c:pt idx="14">
                  <c:v>42.926912594084534</c:v>
                </c:pt>
                <c:pt idx="15">
                  <c:v>43.853305808519714</c:v>
                </c:pt>
                <c:pt idx="16">
                  <c:v>44.854707938253057</c:v>
                </c:pt>
                <c:pt idx="17">
                  <c:v>44.695650364462203</c:v>
                </c:pt>
                <c:pt idx="18">
                  <c:v>44.548369379039237</c:v>
                </c:pt>
                <c:pt idx="19">
                  <c:v>44.37933917166724</c:v>
                </c:pt>
                <c:pt idx="20">
                  <c:v>44.210375822295411</c:v>
                </c:pt>
                <c:pt idx="21">
                  <c:v>44.02827866032338</c:v>
                </c:pt>
                <c:pt idx="22">
                  <c:v>43.833556690779169</c:v>
                </c:pt>
                <c:pt idx="23">
                  <c:v>43.629795425866739</c:v>
                </c:pt>
                <c:pt idx="24">
                  <c:v>43.409300727314829</c:v>
                </c:pt>
                <c:pt idx="25">
                  <c:v>43.167381683940754</c:v>
                </c:pt>
                <c:pt idx="26">
                  <c:v>43.168125913718157</c:v>
                </c:pt>
                <c:pt idx="27">
                  <c:v>43.160809657545606</c:v>
                </c:pt>
                <c:pt idx="28">
                  <c:v>43.14200955413866</c:v>
                </c:pt>
                <c:pt idx="29">
                  <c:v>43.107710169170268</c:v>
                </c:pt>
                <c:pt idx="30">
                  <c:v>42.995183251878082</c:v>
                </c:pt>
                <c:pt idx="31">
                  <c:v>42.914248241891698</c:v>
                </c:pt>
                <c:pt idx="32">
                  <c:v>42.833243719814718</c:v>
                </c:pt>
                <c:pt idx="33">
                  <c:v>42.749640066069524</c:v>
                </c:pt>
                <c:pt idx="34">
                  <c:v>42.77741268029316</c:v>
                </c:pt>
                <c:pt idx="35">
                  <c:v>42.805812985475455</c:v>
                </c:pt>
                <c:pt idx="36">
                  <c:v>42.83394386052705</c:v>
                </c:pt>
                <c:pt idx="37">
                  <c:v>42.85594542273347</c:v>
                </c:pt>
                <c:pt idx="38">
                  <c:v>42.873974714680934</c:v>
                </c:pt>
                <c:pt idx="39">
                  <c:v>42.892908509355358</c:v>
                </c:pt>
                <c:pt idx="40">
                  <c:v>42.909516445923096</c:v>
                </c:pt>
                <c:pt idx="41">
                  <c:v>42.925195656579504</c:v>
                </c:pt>
                <c:pt idx="42">
                  <c:v>42.941602709411782</c:v>
                </c:pt>
                <c:pt idx="43">
                  <c:v>42.958451738313975</c:v>
                </c:pt>
                <c:pt idx="44">
                  <c:v>42.977510797874238</c:v>
                </c:pt>
                <c:pt idx="45">
                  <c:v>42.99887848513233</c:v>
                </c:pt>
                <c:pt idx="46">
                  <c:v>43.02201152778175</c:v>
                </c:pt>
                <c:pt idx="47">
                  <c:v>43.045237164596656</c:v>
                </c:pt>
                <c:pt idx="48">
                  <c:v>43.071232591954519</c:v>
                </c:pt>
                <c:pt idx="49">
                  <c:v>43.09898191585787</c:v>
                </c:pt>
                <c:pt idx="50">
                  <c:v>43.128949600282482</c:v>
                </c:pt>
                <c:pt idx="51">
                  <c:v>43.163072130277421</c:v>
                </c:pt>
                <c:pt idx="52">
                  <c:v>43.200716876592445</c:v>
                </c:pt>
                <c:pt idx="53">
                  <c:v>43.242098366205887</c:v>
                </c:pt>
                <c:pt idx="54">
                  <c:v>43.285691010225079</c:v>
                </c:pt>
                <c:pt idx="55">
                  <c:v>43.332271844986685</c:v>
                </c:pt>
                <c:pt idx="56">
                  <c:v>43.381429959688724</c:v>
                </c:pt>
                <c:pt idx="57">
                  <c:v>43.434182783903218</c:v>
                </c:pt>
                <c:pt idx="58">
                  <c:v>43.491835321195872</c:v>
                </c:pt>
                <c:pt idx="59">
                  <c:v>43.553536919754215</c:v>
                </c:pt>
                <c:pt idx="60">
                  <c:v>43.620808564026923</c:v>
                </c:pt>
                <c:pt idx="61">
                  <c:v>43.692577018072285</c:v>
                </c:pt>
                <c:pt idx="62">
                  <c:v>43.768881006487042</c:v>
                </c:pt>
                <c:pt idx="63">
                  <c:v>43.84717868765938</c:v>
                </c:pt>
                <c:pt idx="64">
                  <c:v>43.928507909040228</c:v>
                </c:pt>
                <c:pt idx="65">
                  <c:v>44.012460820730105</c:v>
                </c:pt>
                <c:pt idx="66">
                  <c:v>44.099737669794941</c:v>
                </c:pt>
                <c:pt idx="67">
                  <c:v>44.187627729991952</c:v>
                </c:pt>
                <c:pt idx="68">
                  <c:v>44.277514965110633</c:v>
                </c:pt>
                <c:pt idx="69">
                  <c:v>44.36915474329696</c:v>
                </c:pt>
                <c:pt idx="70">
                  <c:v>44.463096614406496</c:v>
                </c:pt>
                <c:pt idx="71">
                  <c:v>44.557909672085401</c:v>
                </c:pt>
                <c:pt idx="72">
                  <c:v>44.653849163571842</c:v>
                </c:pt>
                <c:pt idx="73">
                  <c:v>44.748899320954223</c:v>
                </c:pt>
                <c:pt idx="74">
                  <c:v>44.844728533547951</c:v>
                </c:pt>
                <c:pt idx="75">
                  <c:v>44.939802265509179</c:v>
                </c:pt>
                <c:pt idx="76">
                  <c:v>45.034170416930017</c:v>
                </c:pt>
                <c:pt idx="77">
                  <c:v>45.126826702217294</c:v>
                </c:pt>
                <c:pt idx="78">
                  <c:v>45.218329930895116</c:v>
                </c:pt>
                <c:pt idx="79">
                  <c:v>45.307943486980996</c:v>
                </c:pt>
                <c:pt idx="80">
                  <c:v>48.318374824000017</c:v>
                </c:pt>
              </c:numCache>
            </c:numRef>
          </c:val>
          <c:extLst>
            <c:ext xmlns:c16="http://schemas.microsoft.com/office/drawing/2014/chart" uri="{C3380CC4-5D6E-409C-BE32-E72D297353CC}">
              <c16:uniqueId val="{00000000-8F42-4204-AC4F-BA8878CF87EA}"/>
            </c:ext>
          </c:extLst>
        </c:ser>
        <c:ser>
          <c:idx val="0"/>
          <c:order val="1"/>
          <c:tx>
            <c:v>Unmeasured household consumption</c:v>
          </c:tx>
          <c:spPr>
            <a:ln w="25400">
              <a:noFill/>
            </a:ln>
          </c:spPr>
          <c:cat>
            <c:strRef>
              <c:f>CAMCAM!$G$23:$CI$23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CAMCAM!$G$378:$CI$378</c:f>
              <c:numCache>
                <c:formatCode>0.00</c:formatCode>
                <c:ptCount val="81"/>
                <c:pt idx="0">
                  <c:v>17.561084109999999</c:v>
                </c:pt>
                <c:pt idx="1">
                  <c:v>16.341084110000001</c:v>
                </c:pt>
                <c:pt idx="2">
                  <c:v>15.372449890000002</c:v>
                </c:pt>
                <c:pt idx="3">
                  <c:v>14.395511370000001</c:v>
                </c:pt>
                <c:pt idx="4">
                  <c:v>13.455677140000001</c:v>
                </c:pt>
                <c:pt idx="5">
                  <c:v>13.115094260000001</c:v>
                </c:pt>
                <c:pt idx="6">
                  <c:v>12.087760211818178</c:v>
                </c:pt>
                <c:pt idx="7">
                  <c:v>11.038952833636362</c:v>
                </c:pt>
                <c:pt idx="8">
                  <c:v>9.9881537754545384</c:v>
                </c:pt>
                <c:pt idx="9">
                  <c:v>8.9340422072727197</c:v>
                </c:pt>
                <c:pt idx="10">
                  <c:v>7.9001905090908995</c:v>
                </c:pt>
                <c:pt idx="11">
                  <c:v>6.8429432709090783</c:v>
                </c:pt>
                <c:pt idx="12">
                  <c:v>5.7890458027272595</c:v>
                </c:pt>
                <c:pt idx="13">
                  <c:v>4.73925859454544</c:v>
                </c:pt>
                <c:pt idx="14">
                  <c:v>3.69022247636362</c:v>
                </c:pt>
                <c:pt idx="15">
                  <c:v>2.641295638181802</c:v>
                </c:pt>
                <c:pt idx="16">
                  <c:v>1.5193027099999785</c:v>
                </c:pt>
                <c:pt idx="17">
                  <c:v>1.5276020999999798</c:v>
                </c:pt>
                <c:pt idx="18">
                  <c:v>1.5375622599999801</c:v>
                </c:pt>
                <c:pt idx="19">
                  <c:v>1.5418288499999786</c:v>
                </c:pt>
                <c:pt idx="20">
                  <c:v>1.5488771529999799</c:v>
                </c:pt>
                <c:pt idx="21">
                  <c:v>1.5565455689999794</c:v>
                </c:pt>
                <c:pt idx="22">
                  <c:v>1.5637224879999785</c:v>
                </c:pt>
                <c:pt idx="23">
                  <c:v>1.5709563649999794</c:v>
                </c:pt>
                <c:pt idx="24">
                  <c:v>1.5770422399999795</c:v>
                </c:pt>
                <c:pt idx="25">
                  <c:v>1.5822440229999799</c:v>
                </c:pt>
                <c:pt idx="26">
                  <c:v>1.5879461029999788</c:v>
                </c:pt>
                <c:pt idx="27">
                  <c:v>1.5940921909999801</c:v>
                </c:pt>
                <c:pt idx="28">
                  <c:v>1.5996909199999791</c:v>
                </c:pt>
                <c:pt idx="29">
                  <c:v>1.6046717269999791</c:v>
                </c:pt>
                <c:pt idx="30">
                  <c:v>1.6212640089999786</c:v>
                </c:pt>
                <c:pt idx="31">
                  <c:v>1.6260126829999786</c:v>
                </c:pt>
                <c:pt idx="32">
                  <c:v>1.6302785339999781</c:v>
                </c:pt>
                <c:pt idx="33">
                  <c:v>1.6344038869999791</c:v>
                </c:pt>
                <c:pt idx="34">
                  <c:v>1.6382320559999783</c:v>
                </c:pt>
                <c:pt idx="35">
                  <c:v>1.6416854629999795</c:v>
                </c:pt>
                <c:pt idx="36">
                  <c:v>1.6457400649999796</c:v>
                </c:pt>
                <c:pt idx="37">
                  <c:v>1.650051653999979</c:v>
                </c:pt>
                <c:pt idx="38">
                  <c:v>1.6539442529999793</c:v>
                </c:pt>
                <c:pt idx="39">
                  <c:v>1.6573930859999795</c:v>
                </c:pt>
                <c:pt idx="40">
                  <c:v>1.6608493479999797</c:v>
                </c:pt>
                <c:pt idx="41">
                  <c:v>1.6643525819999789</c:v>
                </c:pt>
                <c:pt idx="42">
                  <c:v>1.6676340249999795</c:v>
                </c:pt>
                <c:pt idx="43">
                  <c:v>1.6706571549999794</c:v>
                </c:pt>
                <c:pt idx="44">
                  <c:v>1.6736416479999798</c:v>
                </c:pt>
                <c:pt idx="45">
                  <c:v>1.6766006979999792</c:v>
                </c:pt>
                <c:pt idx="46">
                  <c:v>1.6797681239999793</c:v>
                </c:pt>
                <c:pt idx="47">
                  <c:v>1.6828683019999797</c:v>
                </c:pt>
                <c:pt idx="48">
                  <c:v>1.6857513349999786</c:v>
                </c:pt>
                <c:pt idx="49">
                  <c:v>1.6885510529999799</c:v>
                </c:pt>
                <c:pt idx="50">
                  <c:v>1.6912708819999791</c:v>
                </c:pt>
                <c:pt idx="51">
                  <c:v>1.6939887309999797</c:v>
                </c:pt>
                <c:pt idx="52">
                  <c:v>1.6965784139999789</c:v>
                </c:pt>
                <c:pt idx="53">
                  <c:v>1.6991936729999795</c:v>
                </c:pt>
                <c:pt idx="54">
                  <c:v>1.7017984959999799</c:v>
                </c:pt>
                <c:pt idx="55">
                  <c:v>1.7041990019999789</c:v>
                </c:pt>
                <c:pt idx="56">
                  <c:v>1.7067126749999799</c:v>
                </c:pt>
                <c:pt idx="57">
                  <c:v>1.7090901019999789</c:v>
                </c:pt>
                <c:pt idx="58">
                  <c:v>1.7112611859999793</c:v>
                </c:pt>
                <c:pt idx="59">
                  <c:v>1.7134268969999802</c:v>
                </c:pt>
                <c:pt idx="60">
                  <c:v>1.7153672629999788</c:v>
                </c:pt>
                <c:pt idx="61">
                  <c:v>1.7173401859999795</c:v>
                </c:pt>
                <c:pt idx="62">
                  <c:v>1.7192793059999789</c:v>
                </c:pt>
                <c:pt idx="63">
                  <c:v>1.7212611779999789</c:v>
                </c:pt>
                <c:pt idx="64">
                  <c:v>1.7231434689999792</c:v>
                </c:pt>
                <c:pt idx="65">
                  <c:v>1.7249315439999791</c:v>
                </c:pt>
                <c:pt idx="66">
                  <c:v>1.7266931319999794</c:v>
                </c:pt>
                <c:pt idx="67">
                  <c:v>1.7284552739999786</c:v>
                </c:pt>
                <c:pt idx="68">
                  <c:v>1.7301208789999798</c:v>
                </c:pt>
                <c:pt idx="69">
                  <c:v>1.7317215399999792</c:v>
                </c:pt>
                <c:pt idx="70">
                  <c:v>1.7332140619999792</c:v>
                </c:pt>
                <c:pt idx="71">
                  <c:v>1.734786409999979</c:v>
                </c:pt>
                <c:pt idx="72">
                  <c:v>1.736327554999979</c:v>
                </c:pt>
                <c:pt idx="73">
                  <c:v>1.7379348309999791</c:v>
                </c:pt>
                <c:pt idx="74">
                  <c:v>1.7393833599999793</c:v>
                </c:pt>
                <c:pt idx="75">
                  <c:v>1.7408057419999792</c:v>
                </c:pt>
                <c:pt idx="76">
                  <c:v>1.7422263719999793</c:v>
                </c:pt>
                <c:pt idx="77">
                  <c:v>1.7437082779999789</c:v>
                </c:pt>
                <c:pt idx="78">
                  <c:v>1.7451225179999788</c:v>
                </c:pt>
                <c:pt idx="79">
                  <c:v>1.746470127999979</c:v>
                </c:pt>
                <c:pt idx="80">
                  <c:v>2.8899999999999793</c:v>
                </c:pt>
              </c:numCache>
            </c:numRef>
          </c:val>
          <c:extLst>
            <c:ext xmlns:c16="http://schemas.microsoft.com/office/drawing/2014/chart" uri="{C3380CC4-5D6E-409C-BE32-E72D297353CC}">
              <c16:uniqueId val="{00000001-8F42-4204-AC4F-BA8878CF87EA}"/>
            </c:ext>
          </c:extLst>
        </c:ser>
        <c:ser>
          <c:idx val="1"/>
          <c:order val="2"/>
          <c:tx>
            <c:v>Non-household consumption</c:v>
          </c:tx>
          <c:spPr>
            <a:ln w="25400">
              <a:noFill/>
            </a:ln>
          </c:spPr>
          <c:cat>
            <c:strRef>
              <c:f>CAMCAM!$G$23:$CI$23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CAMCAM!$G$379:$CI$379</c:f>
              <c:numCache>
                <c:formatCode>0.00</c:formatCode>
                <c:ptCount val="81"/>
                <c:pt idx="0">
                  <c:v>22.470000000000002</c:v>
                </c:pt>
                <c:pt idx="1">
                  <c:v>23.903559690000005</c:v>
                </c:pt>
                <c:pt idx="2">
                  <c:v>24.547230610000003</c:v>
                </c:pt>
                <c:pt idx="3">
                  <c:v>25.587165660000004</c:v>
                </c:pt>
                <c:pt idx="4">
                  <c:v>26.848108380000003</c:v>
                </c:pt>
                <c:pt idx="5">
                  <c:v>27.821185670000002</c:v>
                </c:pt>
                <c:pt idx="6">
                  <c:v>27.999952140000001</c:v>
                </c:pt>
                <c:pt idx="7">
                  <c:v>28.197201370000002</c:v>
                </c:pt>
                <c:pt idx="8">
                  <c:v>28.390065119999999</c:v>
                </c:pt>
                <c:pt idx="9">
                  <c:v>28.528994180000002</c:v>
                </c:pt>
                <c:pt idx="10">
                  <c:v>28.622555440000003</c:v>
                </c:pt>
                <c:pt idx="11">
                  <c:v>28.851617170000001</c:v>
                </c:pt>
                <c:pt idx="12">
                  <c:v>29.029802210000003</c:v>
                </c:pt>
                <c:pt idx="13">
                  <c:v>29.175029350000003</c:v>
                </c:pt>
                <c:pt idx="14">
                  <c:v>29.367928450000004</c:v>
                </c:pt>
                <c:pt idx="15">
                  <c:v>29.493209850000007</c:v>
                </c:pt>
                <c:pt idx="16">
                  <c:v>29.977829460000002</c:v>
                </c:pt>
                <c:pt idx="17">
                  <c:v>30.470517380000004</c:v>
                </c:pt>
                <c:pt idx="18">
                  <c:v>30.939892590000007</c:v>
                </c:pt>
                <c:pt idx="19">
                  <c:v>31.372552450000008</c:v>
                </c:pt>
                <c:pt idx="20">
                  <c:v>31.449511984000001</c:v>
                </c:pt>
                <c:pt idx="21">
                  <c:v>31.526471519000005</c:v>
                </c:pt>
                <c:pt idx="22">
                  <c:v>31.603431053000005</c:v>
                </c:pt>
                <c:pt idx="23">
                  <c:v>31.680390588000002</c:v>
                </c:pt>
                <c:pt idx="24">
                  <c:v>31.757350122000002</c:v>
                </c:pt>
                <c:pt idx="25">
                  <c:v>31.834309657000002</c:v>
                </c:pt>
                <c:pt idx="26">
                  <c:v>31.911269190999999</c:v>
                </c:pt>
                <c:pt idx="27">
                  <c:v>31.988228725999999</c:v>
                </c:pt>
                <c:pt idx="28">
                  <c:v>32.065188259999999</c:v>
                </c:pt>
                <c:pt idx="29">
                  <c:v>32.142147794999993</c:v>
                </c:pt>
                <c:pt idx="30">
                  <c:v>32.219107328999996</c:v>
                </c:pt>
                <c:pt idx="31">
                  <c:v>32.296066863999997</c:v>
                </c:pt>
                <c:pt idx="32">
                  <c:v>32.373026398</c:v>
                </c:pt>
                <c:pt idx="33">
                  <c:v>32.449985932999994</c:v>
                </c:pt>
                <c:pt idx="34">
                  <c:v>32.526945466999997</c:v>
                </c:pt>
                <c:pt idx="35">
                  <c:v>32.603905001000001</c:v>
                </c:pt>
                <c:pt idx="36">
                  <c:v>32.680864535999994</c:v>
                </c:pt>
                <c:pt idx="37">
                  <c:v>32.757824069999998</c:v>
                </c:pt>
                <c:pt idx="38">
                  <c:v>32.834783604999998</c:v>
                </c:pt>
                <c:pt idx="39">
                  <c:v>32.911743138999995</c:v>
                </c:pt>
                <c:pt idx="40">
                  <c:v>32.988702683999996</c:v>
                </c:pt>
                <c:pt idx="41">
                  <c:v>33.065662218</c:v>
                </c:pt>
                <c:pt idx="42">
                  <c:v>33.142621752999993</c:v>
                </c:pt>
                <c:pt idx="43">
                  <c:v>33.219581286999997</c:v>
                </c:pt>
                <c:pt idx="44">
                  <c:v>33.296540821999997</c:v>
                </c:pt>
                <c:pt idx="45">
                  <c:v>33.373500355999994</c:v>
                </c:pt>
                <c:pt idx="46">
                  <c:v>33.450459890999994</c:v>
                </c:pt>
                <c:pt idx="47">
                  <c:v>33.527419424999998</c:v>
                </c:pt>
                <c:pt idx="48">
                  <c:v>33.604378959000002</c:v>
                </c:pt>
                <c:pt idx="49">
                  <c:v>33.681338493999995</c:v>
                </c:pt>
                <c:pt idx="50">
                  <c:v>33.758298027999999</c:v>
                </c:pt>
                <c:pt idx="51">
                  <c:v>33.835257562999999</c:v>
                </c:pt>
                <c:pt idx="52">
                  <c:v>33.912217096999996</c:v>
                </c:pt>
                <c:pt idx="53">
                  <c:v>33.989176631999996</c:v>
                </c:pt>
                <c:pt idx="54">
                  <c:v>34.066136166</c:v>
                </c:pt>
                <c:pt idx="55">
                  <c:v>34.143095700999993</c:v>
                </c:pt>
                <c:pt idx="56">
                  <c:v>34.220055234999997</c:v>
                </c:pt>
                <c:pt idx="57">
                  <c:v>34.297014769999997</c:v>
                </c:pt>
                <c:pt idx="58">
                  <c:v>34.373974304000001</c:v>
                </c:pt>
                <c:pt idx="59">
                  <c:v>34.450933838999994</c:v>
                </c:pt>
                <c:pt idx="60">
                  <c:v>34.527893372999998</c:v>
                </c:pt>
                <c:pt idx="61">
                  <c:v>34.604852907999998</c:v>
                </c:pt>
                <c:pt idx="62">
                  <c:v>34.681812441999995</c:v>
                </c:pt>
                <c:pt idx="63">
                  <c:v>34.758771975999998</c:v>
                </c:pt>
                <c:pt idx="64">
                  <c:v>34.835731510999999</c:v>
                </c:pt>
                <c:pt idx="65">
                  <c:v>34.912691044999995</c:v>
                </c:pt>
                <c:pt idx="66">
                  <c:v>34.989650579999996</c:v>
                </c:pt>
                <c:pt idx="67">
                  <c:v>35.066610113999999</c:v>
                </c:pt>
                <c:pt idx="68">
                  <c:v>35.143569649</c:v>
                </c:pt>
                <c:pt idx="69">
                  <c:v>35.220529182999996</c:v>
                </c:pt>
                <c:pt idx="70">
                  <c:v>35.297488717999997</c:v>
                </c:pt>
                <c:pt idx="71">
                  <c:v>35.374448252000001</c:v>
                </c:pt>
                <c:pt idx="72">
                  <c:v>35.451407786999994</c:v>
                </c:pt>
                <c:pt idx="73">
                  <c:v>35.528367320999998</c:v>
                </c:pt>
                <c:pt idx="74">
                  <c:v>35.605326855999998</c:v>
                </c:pt>
                <c:pt idx="75">
                  <c:v>35.682286389999994</c:v>
                </c:pt>
                <c:pt idx="76">
                  <c:v>35.759245924999995</c:v>
                </c:pt>
                <c:pt idx="77">
                  <c:v>35.836205458999999</c:v>
                </c:pt>
                <c:pt idx="78">
                  <c:v>35.913164992999995</c:v>
                </c:pt>
                <c:pt idx="79">
                  <c:v>35.913164992999995</c:v>
                </c:pt>
                <c:pt idx="80">
                  <c:v>35.913164992999995</c:v>
                </c:pt>
              </c:numCache>
            </c:numRef>
          </c:val>
          <c:extLst>
            <c:ext xmlns:c16="http://schemas.microsoft.com/office/drawing/2014/chart" uri="{C3380CC4-5D6E-409C-BE32-E72D297353CC}">
              <c16:uniqueId val="{00000002-8F42-4204-AC4F-BA8878CF87EA}"/>
            </c:ext>
          </c:extLst>
        </c:ser>
        <c:ser>
          <c:idx val="2"/>
          <c:order val="3"/>
          <c:tx>
            <c:v>Total leakage</c:v>
          </c:tx>
          <c:spPr>
            <a:ln w="25400">
              <a:noFill/>
            </a:ln>
          </c:spPr>
          <c:cat>
            <c:strRef>
              <c:f>CAMCAM!$G$23:$CI$23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CAMCAM!$G$380:$CI$380</c:f>
              <c:numCache>
                <c:formatCode>0.00</c:formatCode>
                <c:ptCount val="81"/>
                <c:pt idx="0">
                  <c:v>13.5</c:v>
                </c:pt>
                <c:pt idx="1">
                  <c:v>13.5</c:v>
                </c:pt>
                <c:pt idx="2">
                  <c:v>13.510000000000002</c:v>
                </c:pt>
                <c:pt idx="3">
                  <c:v>13.510000000000002</c:v>
                </c:pt>
                <c:pt idx="4">
                  <c:v>13.510000000000002</c:v>
                </c:pt>
                <c:pt idx="5">
                  <c:v>13.2</c:v>
                </c:pt>
                <c:pt idx="6">
                  <c:v>12.719999999999999</c:v>
                </c:pt>
                <c:pt idx="7">
                  <c:v>12.240000000000002</c:v>
                </c:pt>
                <c:pt idx="8">
                  <c:v>11.76</c:v>
                </c:pt>
                <c:pt idx="9">
                  <c:v>11.280000000000001</c:v>
                </c:pt>
                <c:pt idx="10">
                  <c:v>10.8</c:v>
                </c:pt>
                <c:pt idx="11">
                  <c:v>10.458</c:v>
                </c:pt>
                <c:pt idx="12">
                  <c:v>10.116</c:v>
                </c:pt>
                <c:pt idx="13">
                  <c:v>9.7740000000000009</c:v>
                </c:pt>
                <c:pt idx="14">
                  <c:v>9.4320000000000004</c:v>
                </c:pt>
                <c:pt idx="15">
                  <c:v>9.09</c:v>
                </c:pt>
                <c:pt idx="16">
                  <c:v>8.7319999999999993</c:v>
                </c:pt>
                <c:pt idx="17">
                  <c:v>8.3739999999999988</c:v>
                </c:pt>
                <c:pt idx="18">
                  <c:v>8.016</c:v>
                </c:pt>
                <c:pt idx="19">
                  <c:v>7.6580000000000004</c:v>
                </c:pt>
                <c:pt idx="20">
                  <c:v>7.3</c:v>
                </c:pt>
                <c:pt idx="21">
                  <c:v>7.3</c:v>
                </c:pt>
                <c:pt idx="22">
                  <c:v>7.3</c:v>
                </c:pt>
                <c:pt idx="23">
                  <c:v>7.3</c:v>
                </c:pt>
                <c:pt idx="24">
                  <c:v>7.3</c:v>
                </c:pt>
                <c:pt idx="25">
                  <c:v>7.3</c:v>
                </c:pt>
                <c:pt idx="26">
                  <c:v>7.3</c:v>
                </c:pt>
                <c:pt idx="27">
                  <c:v>7.3</c:v>
                </c:pt>
                <c:pt idx="28">
                  <c:v>7.3</c:v>
                </c:pt>
                <c:pt idx="29">
                  <c:v>7.3</c:v>
                </c:pt>
                <c:pt idx="30">
                  <c:v>7.3</c:v>
                </c:pt>
                <c:pt idx="31">
                  <c:v>7.3</c:v>
                </c:pt>
                <c:pt idx="32">
                  <c:v>7.3</c:v>
                </c:pt>
                <c:pt idx="33">
                  <c:v>7.3</c:v>
                </c:pt>
                <c:pt idx="34">
                  <c:v>7.3</c:v>
                </c:pt>
                <c:pt idx="35">
                  <c:v>7.3</c:v>
                </c:pt>
                <c:pt idx="36">
                  <c:v>7.3</c:v>
                </c:pt>
                <c:pt idx="37">
                  <c:v>7.3</c:v>
                </c:pt>
                <c:pt idx="38">
                  <c:v>7.3</c:v>
                </c:pt>
                <c:pt idx="39">
                  <c:v>7.3</c:v>
                </c:pt>
                <c:pt idx="40">
                  <c:v>7.3</c:v>
                </c:pt>
                <c:pt idx="41">
                  <c:v>7.3</c:v>
                </c:pt>
                <c:pt idx="42">
                  <c:v>7.3</c:v>
                </c:pt>
                <c:pt idx="43">
                  <c:v>7.3</c:v>
                </c:pt>
                <c:pt idx="44">
                  <c:v>7.3</c:v>
                </c:pt>
                <c:pt idx="45">
                  <c:v>7.3</c:v>
                </c:pt>
                <c:pt idx="46">
                  <c:v>7.3</c:v>
                </c:pt>
                <c:pt idx="47">
                  <c:v>7.3</c:v>
                </c:pt>
                <c:pt idx="48">
                  <c:v>7.3</c:v>
                </c:pt>
                <c:pt idx="49">
                  <c:v>7.3</c:v>
                </c:pt>
                <c:pt idx="50">
                  <c:v>7.3</c:v>
                </c:pt>
                <c:pt idx="51">
                  <c:v>7.3</c:v>
                </c:pt>
                <c:pt idx="52">
                  <c:v>7.3</c:v>
                </c:pt>
                <c:pt idx="53">
                  <c:v>7.3</c:v>
                </c:pt>
                <c:pt idx="54">
                  <c:v>7.3</c:v>
                </c:pt>
                <c:pt idx="55">
                  <c:v>7.3</c:v>
                </c:pt>
                <c:pt idx="56">
                  <c:v>7.3</c:v>
                </c:pt>
                <c:pt idx="57">
                  <c:v>7.3</c:v>
                </c:pt>
                <c:pt idx="58">
                  <c:v>7.3</c:v>
                </c:pt>
                <c:pt idx="59">
                  <c:v>7.3</c:v>
                </c:pt>
                <c:pt idx="60">
                  <c:v>7.3</c:v>
                </c:pt>
                <c:pt idx="61">
                  <c:v>7.3</c:v>
                </c:pt>
                <c:pt idx="62">
                  <c:v>7.3</c:v>
                </c:pt>
                <c:pt idx="63">
                  <c:v>7.3</c:v>
                </c:pt>
                <c:pt idx="64">
                  <c:v>7.3</c:v>
                </c:pt>
                <c:pt idx="65">
                  <c:v>7.3</c:v>
                </c:pt>
                <c:pt idx="66">
                  <c:v>7.3</c:v>
                </c:pt>
                <c:pt idx="67">
                  <c:v>7.3</c:v>
                </c:pt>
                <c:pt idx="68">
                  <c:v>7.3</c:v>
                </c:pt>
                <c:pt idx="69">
                  <c:v>7.3</c:v>
                </c:pt>
                <c:pt idx="70">
                  <c:v>7.3</c:v>
                </c:pt>
                <c:pt idx="71">
                  <c:v>7.3</c:v>
                </c:pt>
                <c:pt idx="72">
                  <c:v>7.3</c:v>
                </c:pt>
                <c:pt idx="73">
                  <c:v>7.3</c:v>
                </c:pt>
                <c:pt idx="74">
                  <c:v>7.3</c:v>
                </c:pt>
                <c:pt idx="75">
                  <c:v>7.3</c:v>
                </c:pt>
                <c:pt idx="76">
                  <c:v>7.3</c:v>
                </c:pt>
                <c:pt idx="77">
                  <c:v>7.3</c:v>
                </c:pt>
                <c:pt idx="78">
                  <c:v>7.3</c:v>
                </c:pt>
                <c:pt idx="79">
                  <c:v>7.3</c:v>
                </c:pt>
                <c:pt idx="80">
                  <c:v>3.67</c:v>
                </c:pt>
              </c:numCache>
            </c:numRef>
          </c:val>
          <c:extLst>
            <c:ext xmlns:c16="http://schemas.microsoft.com/office/drawing/2014/chart" uri="{C3380CC4-5D6E-409C-BE32-E72D297353CC}">
              <c16:uniqueId val="{00000003-8F42-4204-AC4F-BA8878CF87EA}"/>
            </c:ext>
          </c:extLst>
        </c:ser>
        <c:ser>
          <c:idx val="3"/>
          <c:order val="4"/>
          <c:tx>
            <c:v>Other components of demand</c:v>
          </c:tx>
          <c:spPr>
            <a:ln w="25400">
              <a:noFill/>
            </a:ln>
          </c:spPr>
          <c:cat>
            <c:strRef>
              <c:f>CAMCAM!$G$23:$CI$23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CAMCAM!$G$381:$CI$381</c:f>
              <c:numCache>
                <c:formatCode>0.00</c:formatCode>
                <c:ptCount val="81"/>
                <c:pt idx="0">
                  <c:v>0.54000000000000625</c:v>
                </c:pt>
                <c:pt idx="1">
                  <c:v>0.54000000000000625</c:v>
                </c:pt>
                <c:pt idx="2">
                  <c:v>0.54000000000000625</c:v>
                </c:pt>
                <c:pt idx="3">
                  <c:v>0.53999999999997783</c:v>
                </c:pt>
                <c:pt idx="4">
                  <c:v>0.54000000000000625</c:v>
                </c:pt>
                <c:pt idx="5">
                  <c:v>0.54000000000000625</c:v>
                </c:pt>
                <c:pt idx="6">
                  <c:v>0.54000000000000625</c:v>
                </c:pt>
                <c:pt idx="7">
                  <c:v>0.54000000000002046</c:v>
                </c:pt>
                <c:pt idx="8">
                  <c:v>0.54000000000000625</c:v>
                </c:pt>
                <c:pt idx="9">
                  <c:v>0.54000000000002046</c:v>
                </c:pt>
                <c:pt idx="10">
                  <c:v>0.54000000000000625</c:v>
                </c:pt>
                <c:pt idx="11">
                  <c:v>0.54000000000002046</c:v>
                </c:pt>
                <c:pt idx="12">
                  <c:v>0.54000000000000625</c:v>
                </c:pt>
                <c:pt idx="13">
                  <c:v>0.54000000000002046</c:v>
                </c:pt>
                <c:pt idx="14">
                  <c:v>0.54000000000000625</c:v>
                </c:pt>
                <c:pt idx="15">
                  <c:v>0.54000000000000625</c:v>
                </c:pt>
                <c:pt idx="16">
                  <c:v>0.54000000000000625</c:v>
                </c:pt>
                <c:pt idx="17">
                  <c:v>0.54000000000000625</c:v>
                </c:pt>
                <c:pt idx="18">
                  <c:v>0.54000000000000625</c:v>
                </c:pt>
                <c:pt idx="19">
                  <c:v>0.54000000000000625</c:v>
                </c:pt>
                <c:pt idx="20">
                  <c:v>0.54000000000002046</c:v>
                </c:pt>
                <c:pt idx="21">
                  <c:v>0.54000000000002046</c:v>
                </c:pt>
                <c:pt idx="22">
                  <c:v>0.54000000000002046</c:v>
                </c:pt>
                <c:pt idx="23">
                  <c:v>0.54000000000002046</c:v>
                </c:pt>
                <c:pt idx="24">
                  <c:v>0.54000000000002046</c:v>
                </c:pt>
                <c:pt idx="25">
                  <c:v>0.54000000000002046</c:v>
                </c:pt>
                <c:pt idx="26">
                  <c:v>0.54000000000002046</c:v>
                </c:pt>
                <c:pt idx="27">
                  <c:v>0.54000000000002046</c:v>
                </c:pt>
                <c:pt idx="28">
                  <c:v>0.54000000000002046</c:v>
                </c:pt>
                <c:pt idx="29">
                  <c:v>0.54000000000002046</c:v>
                </c:pt>
                <c:pt idx="30">
                  <c:v>0.54000000000002046</c:v>
                </c:pt>
                <c:pt idx="31">
                  <c:v>0.54000000000000625</c:v>
                </c:pt>
                <c:pt idx="32">
                  <c:v>0.54000000000002046</c:v>
                </c:pt>
                <c:pt idx="33">
                  <c:v>0.54000000000003467</c:v>
                </c:pt>
                <c:pt idx="34">
                  <c:v>0.54000000000002046</c:v>
                </c:pt>
                <c:pt idx="35">
                  <c:v>0.54000000000003467</c:v>
                </c:pt>
                <c:pt idx="36">
                  <c:v>0.54000000000003467</c:v>
                </c:pt>
                <c:pt idx="37">
                  <c:v>0.54000000000002046</c:v>
                </c:pt>
                <c:pt idx="38">
                  <c:v>0.54000000000000625</c:v>
                </c:pt>
                <c:pt idx="39">
                  <c:v>0.54000000000002046</c:v>
                </c:pt>
                <c:pt idx="40">
                  <c:v>0.54000000000003467</c:v>
                </c:pt>
                <c:pt idx="41">
                  <c:v>0.54000000000002046</c:v>
                </c:pt>
                <c:pt idx="42">
                  <c:v>0.54000000000002046</c:v>
                </c:pt>
                <c:pt idx="43">
                  <c:v>0.54000000000002046</c:v>
                </c:pt>
                <c:pt idx="44">
                  <c:v>0.54000000000002046</c:v>
                </c:pt>
                <c:pt idx="45">
                  <c:v>0.54000000000002046</c:v>
                </c:pt>
                <c:pt idx="46">
                  <c:v>0.54000000000000625</c:v>
                </c:pt>
                <c:pt idx="47">
                  <c:v>0.54000000000002046</c:v>
                </c:pt>
                <c:pt idx="48">
                  <c:v>0.54000000000003467</c:v>
                </c:pt>
                <c:pt idx="49">
                  <c:v>0.54000000000003467</c:v>
                </c:pt>
                <c:pt idx="50">
                  <c:v>0.54000000000002046</c:v>
                </c:pt>
                <c:pt idx="51">
                  <c:v>0.54000000000002046</c:v>
                </c:pt>
                <c:pt idx="52">
                  <c:v>0.54000000000002046</c:v>
                </c:pt>
                <c:pt idx="53">
                  <c:v>0.54000000000003467</c:v>
                </c:pt>
                <c:pt idx="54">
                  <c:v>0.54000000000003467</c:v>
                </c:pt>
                <c:pt idx="55">
                  <c:v>0.54000000000000625</c:v>
                </c:pt>
                <c:pt idx="56">
                  <c:v>0.54000000000002046</c:v>
                </c:pt>
                <c:pt idx="57">
                  <c:v>0.54000000000002046</c:v>
                </c:pt>
                <c:pt idx="58">
                  <c:v>0.54000000000002046</c:v>
                </c:pt>
                <c:pt idx="59">
                  <c:v>0.54000000000000625</c:v>
                </c:pt>
                <c:pt idx="60">
                  <c:v>0.54000000000002046</c:v>
                </c:pt>
                <c:pt idx="61">
                  <c:v>0.54000000000003467</c:v>
                </c:pt>
                <c:pt idx="62">
                  <c:v>0.54000000000002046</c:v>
                </c:pt>
                <c:pt idx="63">
                  <c:v>0.54000000000000625</c:v>
                </c:pt>
                <c:pt idx="64">
                  <c:v>0.54000000000002046</c:v>
                </c:pt>
                <c:pt idx="65">
                  <c:v>0.54000000000000625</c:v>
                </c:pt>
                <c:pt idx="66">
                  <c:v>0.54000000000002046</c:v>
                </c:pt>
                <c:pt idx="67">
                  <c:v>0.54000000000002046</c:v>
                </c:pt>
                <c:pt idx="68">
                  <c:v>0.54000000000003467</c:v>
                </c:pt>
                <c:pt idx="69">
                  <c:v>0.54000000000002046</c:v>
                </c:pt>
                <c:pt idx="70">
                  <c:v>0.54000000000003467</c:v>
                </c:pt>
                <c:pt idx="71">
                  <c:v>0.54000000000003467</c:v>
                </c:pt>
                <c:pt idx="72">
                  <c:v>0.54000000000002046</c:v>
                </c:pt>
                <c:pt idx="73">
                  <c:v>0.54000000000002046</c:v>
                </c:pt>
                <c:pt idx="74">
                  <c:v>0.54000000000003467</c:v>
                </c:pt>
                <c:pt idx="75">
                  <c:v>0.54000000000002046</c:v>
                </c:pt>
                <c:pt idx="76">
                  <c:v>0.54000000000002046</c:v>
                </c:pt>
                <c:pt idx="77">
                  <c:v>0.54000000000002046</c:v>
                </c:pt>
                <c:pt idx="78">
                  <c:v>0.54000000000002046</c:v>
                </c:pt>
                <c:pt idx="79">
                  <c:v>0.54000000000002046</c:v>
                </c:pt>
                <c:pt idx="80">
                  <c:v>5.71</c:v>
                </c:pt>
              </c:numCache>
            </c:numRef>
          </c:val>
          <c:extLst>
            <c:ext xmlns:c16="http://schemas.microsoft.com/office/drawing/2014/chart" uri="{C3380CC4-5D6E-409C-BE32-E72D297353CC}">
              <c16:uniqueId val="{00000004-8F42-4204-AC4F-BA8878CF87EA}"/>
            </c:ext>
          </c:extLst>
        </c:ser>
        <c:dLbls>
          <c:showLegendKey val="0"/>
          <c:showVal val="0"/>
          <c:showCatName val="0"/>
          <c:showSerName val="0"/>
          <c:showPercent val="0"/>
          <c:showBubbleSize val="0"/>
        </c:dLbls>
        <c:axId val="-1198612096"/>
        <c:axId val="-1198611552"/>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CAMCAM!$G$382:$CI$382</c:f>
              <c:numCache>
                <c:formatCode>0.00</c:formatCode>
                <c:ptCount val="81"/>
                <c:pt idx="0">
                  <c:v>99.100000000000009</c:v>
                </c:pt>
                <c:pt idx="1">
                  <c:v>99.100000000000009</c:v>
                </c:pt>
                <c:pt idx="2">
                  <c:v>99.100000000000009</c:v>
                </c:pt>
                <c:pt idx="3">
                  <c:v>99.100000000000009</c:v>
                </c:pt>
                <c:pt idx="4">
                  <c:v>99.100000000000009</c:v>
                </c:pt>
                <c:pt idx="5">
                  <c:v>97.100000000000009</c:v>
                </c:pt>
                <c:pt idx="6">
                  <c:v>95.767847338129513</c:v>
                </c:pt>
                <c:pt idx="7">
                  <c:v>95.619947338129521</c:v>
                </c:pt>
                <c:pt idx="8">
                  <c:v>95.112047338129514</c:v>
                </c:pt>
                <c:pt idx="9">
                  <c:v>94.964147338129521</c:v>
                </c:pt>
                <c:pt idx="10">
                  <c:v>94.816247338129514</c:v>
                </c:pt>
                <c:pt idx="11">
                  <c:v>89.158347338129516</c:v>
                </c:pt>
                <c:pt idx="12">
                  <c:v>101.51044733812951</c:v>
                </c:pt>
                <c:pt idx="13">
                  <c:v>102.36254733812952</c:v>
                </c:pt>
                <c:pt idx="14">
                  <c:v>102.21464733812951</c:v>
                </c:pt>
                <c:pt idx="15">
                  <c:v>102.06674733812952</c:v>
                </c:pt>
                <c:pt idx="16">
                  <c:v>101.91884733812951</c:v>
                </c:pt>
                <c:pt idx="17">
                  <c:v>119.77094733812953</c:v>
                </c:pt>
                <c:pt idx="18">
                  <c:v>119.62304733812951</c:v>
                </c:pt>
                <c:pt idx="19">
                  <c:v>119.47514733812952</c:v>
                </c:pt>
                <c:pt idx="20">
                  <c:v>119.32724733812952</c:v>
                </c:pt>
                <c:pt idx="21">
                  <c:v>94.29000000000002</c:v>
                </c:pt>
                <c:pt idx="22">
                  <c:v>94.29000000000002</c:v>
                </c:pt>
                <c:pt idx="23">
                  <c:v>94.29000000000002</c:v>
                </c:pt>
                <c:pt idx="24">
                  <c:v>94.29000000000002</c:v>
                </c:pt>
                <c:pt idx="25">
                  <c:v>94.29000000000002</c:v>
                </c:pt>
                <c:pt idx="26">
                  <c:v>94.29000000000002</c:v>
                </c:pt>
                <c:pt idx="27">
                  <c:v>94.29000000000002</c:v>
                </c:pt>
                <c:pt idx="28">
                  <c:v>94.29000000000002</c:v>
                </c:pt>
                <c:pt idx="29">
                  <c:v>94.29000000000002</c:v>
                </c:pt>
                <c:pt idx="30">
                  <c:v>94.29000000000002</c:v>
                </c:pt>
                <c:pt idx="31">
                  <c:v>94.29000000000002</c:v>
                </c:pt>
                <c:pt idx="32">
                  <c:v>94.29000000000002</c:v>
                </c:pt>
                <c:pt idx="33">
                  <c:v>94.29000000000002</c:v>
                </c:pt>
                <c:pt idx="34">
                  <c:v>94.29000000000002</c:v>
                </c:pt>
                <c:pt idx="35">
                  <c:v>94.29000000000002</c:v>
                </c:pt>
                <c:pt idx="36">
                  <c:v>94.29000000000002</c:v>
                </c:pt>
                <c:pt idx="37">
                  <c:v>94.29000000000002</c:v>
                </c:pt>
                <c:pt idx="38">
                  <c:v>94.29000000000002</c:v>
                </c:pt>
                <c:pt idx="39">
                  <c:v>94.29000000000002</c:v>
                </c:pt>
                <c:pt idx="40">
                  <c:v>94.29000000000002</c:v>
                </c:pt>
                <c:pt idx="41">
                  <c:v>94.29000000000002</c:v>
                </c:pt>
                <c:pt idx="42">
                  <c:v>94.29000000000002</c:v>
                </c:pt>
                <c:pt idx="43">
                  <c:v>94.29000000000002</c:v>
                </c:pt>
                <c:pt idx="44">
                  <c:v>94.29000000000002</c:v>
                </c:pt>
                <c:pt idx="45">
                  <c:v>94.29000000000002</c:v>
                </c:pt>
                <c:pt idx="46">
                  <c:v>94.29000000000002</c:v>
                </c:pt>
                <c:pt idx="47">
                  <c:v>94.29000000000002</c:v>
                </c:pt>
                <c:pt idx="48">
                  <c:v>94.29000000000002</c:v>
                </c:pt>
                <c:pt idx="49">
                  <c:v>94.29000000000002</c:v>
                </c:pt>
                <c:pt idx="50">
                  <c:v>96.29000000000002</c:v>
                </c:pt>
                <c:pt idx="51">
                  <c:v>96.29000000000002</c:v>
                </c:pt>
                <c:pt idx="52">
                  <c:v>96.29000000000002</c:v>
                </c:pt>
                <c:pt idx="53">
                  <c:v>96.29000000000002</c:v>
                </c:pt>
                <c:pt idx="54">
                  <c:v>96.29000000000002</c:v>
                </c:pt>
                <c:pt idx="55">
                  <c:v>96.29000000000002</c:v>
                </c:pt>
                <c:pt idx="56">
                  <c:v>96.29000000000002</c:v>
                </c:pt>
                <c:pt idx="57">
                  <c:v>96.29000000000002</c:v>
                </c:pt>
                <c:pt idx="58">
                  <c:v>96.29000000000002</c:v>
                </c:pt>
                <c:pt idx="59">
                  <c:v>96.29000000000002</c:v>
                </c:pt>
                <c:pt idx="60">
                  <c:v>96.29000000000002</c:v>
                </c:pt>
                <c:pt idx="61">
                  <c:v>96.29000000000002</c:v>
                </c:pt>
                <c:pt idx="62">
                  <c:v>96.29000000000002</c:v>
                </c:pt>
                <c:pt idx="63">
                  <c:v>96.29000000000002</c:v>
                </c:pt>
                <c:pt idx="64">
                  <c:v>96.29000000000002</c:v>
                </c:pt>
                <c:pt idx="65">
                  <c:v>96.29000000000002</c:v>
                </c:pt>
                <c:pt idx="66">
                  <c:v>96.29000000000002</c:v>
                </c:pt>
                <c:pt idx="67">
                  <c:v>96.29000000000002</c:v>
                </c:pt>
                <c:pt idx="68">
                  <c:v>96.29000000000002</c:v>
                </c:pt>
                <c:pt idx="69">
                  <c:v>96.29000000000002</c:v>
                </c:pt>
                <c:pt idx="70">
                  <c:v>96.29000000000002</c:v>
                </c:pt>
                <c:pt idx="71">
                  <c:v>96.29000000000002</c:v>
                </c:pt>
                <c:pt idx="72">
                  <c:v>96.29000000000002</c:v>
                </c:pt>
                <c:pt idx="73">
                  <c:v>96.29000000000002</c:v>
                </c:pt>
                <c:pt idx="74">
                  <c:v>96.29000000000002</c:v>
                </c:pt>
                <c:pt idx="75">
                  <c:v>96.29000000000002</c:v>
                </c:pt>
                <c:pt idx="76">
                  <c:v>96.29000000000002</c:v>
                </c:pt>
                <c:pt idx="77">
                  <c:v>96.29000000000002</c:v>
                </c:pt>
                <c:pt idx="78">
                  <c:v>96.29000000000002</c:v>
                </c:pt>
                <c:pt idx="79">
                  <c:v>96.29000000000002</c:v>
                </c:pt>
                <c:pt idx="80">
                  <c:v>96.29000000000002</c:v>
                </c:pt>
              </c:numCache>
            </c:numRef>
          </c:val>
          <c:smooth val="0"/>
          <c:extLst>
            <c:ext xmlns:c16="http://schemas.microsoft.com/office/drawing/2014/chart" uri="{C3380CC4-5D6E-409C-BE32-E72D297353CC}">
              <c16:uniqueId val="{00000005-8F42-4204-AC4F-BA8878CF87EA}"/>
            </c:ext>
          </c:extLst>
        </c:ser>
        <c:ser>
          <c:idx val="5"/>
          <c:order val="6"/>
          <c:tx>
            <c:v>Total demand + target headroom (final plan)</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CAMCAM!$G$383:$CI$383</c:f>
              <c:numCache>
                <c:formatCode>0.00</c:formatCode>
                <c:ptCount val="81"/>
                <c:pt idx="0">
                  <c:v>87.984627709999998</c:v>
                </c:pt>
                <c:pt idx="1">
                  <c:v>85.58818740000001</c:v>
                </c:pt>
                <c:pt idx="2">
                  <c:v>88.255622770241132</c:v>
                </c:pt>
                <c:pt idx="3">
                  <c:v>88.557216185445483</c:v>
                </c:pt>
                <c:pt idx="4">
                  <c:v>88.167506693293888</c:v>
                </c:pt>
                <c:pt idx="5">
                  <c:v>89.806733301980373</c:v>
                </c:pt>
                <c:pt idx="6">
                  <c:v>90.040530569870342</c:v>
                </c:pt>
                <c:pt idx="7">
                  <c:v>90.079975317290206</c:v>
                </c:pt>
                <c:pt idx="8">
                  <c:v>90.499141080260529</c:v>
                </c:pt>
                <c:pt idx="9">
                  <c:v>90.425159202635911</c:v>
                </c:pt>
                <c:pt idx="10">
                  <c:v>89.056468092880507</c:v>
                </c:pt>
                <c:pt idx="11">
                  <c:v>88.955699024160893</c:v>
                </c:pt>
                <c:pt idx="12">
                  <c:v>88.865581969847042</c:v>
                </c:pt>
                <c:pt idx="13">
                  <c:v>88.577386040170722</c:v>
                </c:pt>
                <c:pt idx="14">
                  <c:v>88.537633436516359</c:v>
                </c:pt>
                <c:pt idx="15">
                  <c:v>86.902517587931243</c:v>
                </c:pt>
                <c:pt idx="16">
                  <c:v>86.871543165376536</c:v>
                </c:pt>
                <c:pt idx="17">
                  <c:v>86.967706884499918</c:v>
                </c:pt>
                <c:pt idx="18">
                  <c:v>87.021663690882264</c:v>
                </c:pt>
                <c:pt idx="19">
                  <c:v>87.001205629496411</c:v>
                </c:pt>
                <c:pt idx="20">
                  <c:v>86.508198127898225</c:v>
                </c:pt>
                <c:pt idx="21">
                  <c:v>86.30669025404643</c:v>
                </c:pt>
                <c:pt idx="22">
                  <c:v>86.275074295824695</c:v>
                </c:pt>
                <c:pt idx="23">
                  <c:v>86.286932703192974</c:v>
                </c:pt>
                <c:pt idx="24">
                  <c:v>86.106270699130079</c:v>
                </c:pt>
                <c:pt idx="25">
                  <c:v>85.9709795606081</c:v>
                </c:pt>
                <c:pt idx="26">
                  <c:v>86.15403614050328</c:v>
                </c:pt>
                <c:pt idx="27">
                  <c:v>86.139796513817373</c:v>
                </c:pt>
                <c:pt idx="28">
                  <c:v>86.19911773875647</c:v>
                </c:pt>
                <c:pt idx="29">
                  <c:v>86.281312471618818</c:v>
                </c:pt>
                <c:pt idx="30">
                  <c:v>86.242285974946554</c:v>
                </c:pt>
                <c:pt idx="31">
                  <c:v>86.299832864829867</c:v>
                </c:pt>
                <c:pt idx="32">
                  <c:v>86.26987190109827</c:v>
                </c:pt>
                <c:pt idx="33">
                  <c:v>86.362697084168531</c:v>
                </c:pt>
                <c:pt idx="34">
                  <c:v>86.390922372673543</c:v>
                </c:pt>
                <c:pt idx="35">
                  <c:v>86.391072340792377</c:v>
                </c:pt>
                <c:pt idx="36">
                  <c:v>86.559331787964894</c:v>
                </c:pt>
                <c:pt idx="37">
                  <c:v>86.572679716147121</c:v>
                </c:pt>
                <c:pt idx="38">
                  <c:v>86.651715677358723</c:v>
                </c:pt>
                <c:pt idx="39">
                  <c:v>86.670224061132245</c:v>
                </c:pt>
                <c:pt idx="40">
                  <c:v>86.686856509213442</c:v>
                </c:pt>
                <c:pt idx="41">
                  <c:v>86.805503747564401</c:v>
                </c:pt>
                <c:pt idx="42">
                  <c:v>86.725406627018103</c:v>
                </c:pt>
                <c:pt idx="43">
                  <c:v>86.999488558453322</c:v>
                </c:pt>
                <c:pt idx="44">
                  <c:v>87.032197342906372</c:v>
                </c:pt>
                <c:pt idx="45">
                  <c:v>87.097554165996357</c:v>
                </c:pt>
                <c:pt idx="46">
                  <c:v>87.162478661081948</c:v>
                </c:pt>
                <c:pt idx="47">
                  <c:v>87.185429506018977</c:v>
                </c:pt>
                <c:pt idx="48">
                  <c:v>87.246148957403349</c:v>
                </c:pt>
                <c:pt idx="49">
                  <c:v>87.222369258248676</c:v>
                </c:pt>
                <c:pt idx="50">
                  <c:v>87.463127317045348</c:v>
                </c:pt>
                <c:pt idx="51">
                  <c:v>87.468116006344005</c:v>
                </c:pt>
                <c:pt idx="52">
                  <c:v>87.451697016104944</c:v>
                </c:pt>
                <c:pt idx="53">
                  <c:v>87.443157085591494</c:v>
                </c:pt>
                <c:pt idx="54">
                  <c:v>87.495063328942237</c:v>
                </c:pt>
                <c:pt idx="55">
                  <c:v>88.158955971010698</c:v>
                </c:pt>
                <c:pt idx="56">
                  <c:v>87.947654977662793</c:v>
                </c:pt>
                <c:pt idx="57">
                  <c:v>88.04270882421055</c:v>
                </c:pt>
                <c:pt idx="58">
                  <c:v>88.08736757534416</c:v>
                </c:pt>
                <c:pt idx="59">
                  <c:v>88.411487778721636</c:v>
                </c:pt>
                <c:pt idx="60">
                  <c:v>88.407169786144181</c:v>
                </c:pt>
                <c:pt idx="61">
                  <c:v>88.344745767911647</c:v>
                </c:pt>
                <c:pt idx="62">
                  <c:v>88.582429257429425</c:v>
                </c:pt>
                <c:pt idx="63">
                  <c:v>88.779754548257699</c:v>
                </c:pt>
                <c:pt idx="64">
                  <c:v>89.060286351145137</c:v>
                </c:pt>
                <c:pt idx="65">
                  <c:v>88.99443150520392</c:v>
                </c:pt>
                <c:pt idx="66">
                  <c:v>89.173273192702126</c:v>
                </c:pt>
                <c:pt idx="67">
                  <c:v>89.105291644464387</c:v>
                </c:pt>
                <c:pt idx="68">
                  <c:v>89.392826617013895</c:v>
                </c:pt>
                <c:pt idx="69">
                  <c:v>89.588138795118098</c:v>
                </c:pt>
                <c:pt idx="70">
                  <c:v>89.837292468735441</c:v>
                </c:pt>
                <c:pt idx="71">
                  <c:v>90.136388926485353</c:v>
                </c:pt>
                <c:pt idx="72">
                  <c:v>90.152986489912294</c:v>
                </c:pt>
                <c:pt idx="73">
                  <c:v>90.174881193579452</c:v>
                </c:pt>
                <c:pt idx="74">
                  <c:v>90.474544008376142</c:v>
                </c:pt>
                <c:pt idx="75">
                  <c:v>90.458764480897173</c:v>
                </c:pt>
                <c:pt idx="76">
                  <c:v>90.658569526445405</c:v>
                </c:pt>
                <c:pt idx="77">
                  <c:v>90.685033786274232</c:v>
                </c:pt>
                <c:pt idx="78">
                  <c:v>90.996027025026081</c:v>
                </c:pt>
                <c:pt idx="79">
                  <c:v>91.073196931496824</c:v>
                </c:pt>
                <c:pt idx="80">
                  <c:v>96.715268397314063</c:v>
                </c:pt>
              </c:numCache>
            </c:numRef>
          </c:val>
          <c:smooth val="0"/>
          <c:extLst>
            <c:ext xmlns:c16="http://schemas.microsoft.com/office/drawing/2014/chart" uri="{C3380CC4-5D6E-409C-BE32-E72D297353CC}">
              <c16:uniqueId val="{00000006-8F42-4204-AC4F-BA8878CF87EA}"/>
            </c:ext>
          </c:extLst>
        </c:ser>
        <c:dLbls>
          <c:showLegendKey val="0"/>
          <c:showVal val="0"/>
          <c:showCatName val="0"/>
          <c:showSerName val="0"/>
          <c:showPercent val="0"/>
          <c:showBubbleSize val="0"/>
        </c:dLbls>
        <c:marker val="1"/>
        <c:smooth val="0"/>
        <c:axId val="-1198612096"/>
        <c:axId val="-1198611552"/>
      </c:lineChart>
      <c:catAx>
        <c:axId val="-1198612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198611552"/>
        <c:crosses val="autoZero"/>
        <c:auto val="1"/>
        <c:lblAlgn val="ctr"/>
        <c:lblOffset val="100"/>
        <c:tickLblSkip val="2"/>
        <c:tickMarkSkip val="1"/>
        <c:noMultiLvlLbl val="0"/>
      </c:catAx>
      <c:valAx>
        <c:axId val="-1198611552"/>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98612096"/>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7.6004608635676554E-2"/>
          <c:y val="0.82158446545736608"/>
          <c:w val="0.87728158982172755"/>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4"/>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DYCP Baseline Water Supply-Demand Balance and Components of Demand</a:t>
            </a:r>
          </a:p>
        </c:rich>
      </c:tx>
      <c:layout>
        <c:manualLayout>
          <c:xMode val="edge"/>
          <c:yMode val="edge"/>
          <c:x val="0.14097511916881564"/>
          <c:y val="2.434503714148556E-3"/>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CAMCAM!$G$204:$CI$204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CAMCAM!$G$386:$CI$386</c:f>
              <c:numCache>
                <c:formatCode>0.00</c:formatCode>
                <c:ptCount val="81"/>
                <c:pt idx="0">
                  <c:v>33.08</c:v>
                </c:pt>
                <c:pt idx="1">
                  <c:v>34.1</c:v>
                </c:pt>
                <c:pt idx="2">
                  <c:v>40.615135340000002</c:v>
                </c:pt>
                <c:pt idx="3">
                  <c:v>40.854823109999998</c:v>
                </c:pt>
                <c:pt idx="4">
                  <c:v>40.763159250000001</c:v>
                </c:pt>
                <c:pt idx="5">
                  <c:v>40.581026379999997</c:v>
                </c:pt>
                <c:pt idx="6">
                  <c:v>42.042926999999999</c:v>
                </c:pt>
                <c:pt idx="7">
                  <c:v>43.182370910000003</c:v>
                </c:pt>
                <c:pt idx="8">
                  <c:v>44.488354229999999</c:v>
                </c:pt>
                <c:pt idx="9">
                  <c:v>45.763615430000002</c:v>
                </c:pt>
                <c:pt idx="10">
                  <c:v>46.928119970000004</c:v>
                </c:pt>
                <c:pt idx="11">
                  <c:v>47.93768816</c:v>
                </c:pt>
                <c:pt idx="12">
                  <c:v>48.793771120000002</c:v>
                </c:pt>
                <c:pt idx="13">
                  <c:v>49.519408920000004</c:v>
                </c:pt>
                <c:pt idx="14">
                  <c:v>50.246634140000005</c:v>
                </c:pt>
                <c:pt idx="15">
                  <c:v>50.979845920000002</c:v>
                </c:pt>
                <c:pt idx="16">
                  <c:v>51.659707250000004</c:v>
                </c:pt>
                <c:pt idx="17">
                  <c:v>52.291282119999998</c:v>
                </c:pt>
                <c:pt idx="18">
                  <c:v>52.880411290000005</c:v>
                </c:pt>
                <c:pt idx="19">
                  <c:v>53.477312810000001</c:v>
                </c:pt>
                <c:pt idx="20">
                  <c:v>54.04239295</c:v>
                </c:pt>
                <c:pt idx="21">
                  <c:v>54.604498150000005</c:v>
                </c:pt>
                <c:pt idx="22">
                  <c:v>55.146788690000001</c:v>
                </c:pt>
                <c:pt idx="23">
                  <c:v>55.668559540000004</c:v>
                </c:pt>
                <c:pt idx="24">
                  <c:v>56.174405950000001</c:v>
                </c:pt>
                <c:pt idx="25">
                  <c:v>56.655361790000001</c:v>
                </c:pt>
                <c:pt idx="26">
                  <c:v>57.10643469</c:v>
                </c:pt>
                <c:pt idx="27">
                  <c:v>57.532511769999999</c:v>
                </c:pt>
                <c:pt idx="28">
                  <c:v>57.942143059999999</c:v>
                </c:pt>
                <c:pt idx="29">
                  <c:v>58.331180160000002</c:v>
                </c:pt>
                <c:pt idx="30">
                  <c:v>58.694794340000001</c:v>
                </c:pt>
                <c:pt idx="31">
                  <c:v>58.957730179999999</c:v>
                </c:pt>
                <c:pt idx="32">
                  <c:v>59.211003990000002</c:v>
                </c:pt>
                <c:pt idx="33">
                  <c:v>59.458546009999999</c:v>
                </c:pt>
                <c:pt idx="34">
                  <c:v>59.697949200000004</c:v>
                </c:pt>
                <c:pt idx="35">
                  <c:v>59.934424560000004</c:v>
                </c:pt>
                <c:pt idx="36">
                  <c:v>60.16695472</c:v>
                </c:pt>
                <c:pt idx="37">
                  <c:v>60.394549830000003</c:v>
                </c:pt>
                <c:pt idx="38">
                  <c:v>60.609995170000005</c:v>
                </c:pt>
                <c:pt idx="39">
                  <c:v>60.815232690000002</c:v>
                </c:pt>
                <c:pt idx="40">
                  <c:v>61.016496359999998</c:v>
                </c:pt>
                <c:pt idx="41">
                  <c:v>61.210688449999999</c:v>
                </c:pt>
                <c:pt idx="42">
                  <c:v>61.399268820000003</c:v>
                </c:pt>
                <c:pt idx="43">
                  <c:v>61.584430569999995</c:v>
                </c:pt>
                <c:pt idx="44">
                  <c:v>61.766053349999993</c:v>
                </c:pt>
                <c:pt idx="45">
                  <c:v>61.946356620000003</c:v>
                </c:pt>
                <c:pt idx="46">
                  <c:v>62.12573648</c:v>
                </c:pt>
                <c:pt idx="47">
                  <c:v>62.30365098</c:v>
                </c:pt>
                <c:pt idx="48">
                  <c:v>62.478105759999991</c:v>
                </c:pt>
                <c:pt idx="49">
                  <c:v>62.652216909999993</c:v>
                </c:pt>
                <c:pt idx="50">
                  <c:v>62.825152029999998</c:v>
                </c:pt>
                <c:pt idx="51">
                  <c:v>62.997472000000002</c:v>
                </c:pt>
                <c:pt idx="52">
                  <c:v>63.171626259999996</c:v>
                </c:pt>
                <c:pt idx="53">
                  <c:v>63.34716263</c:v>
                </c:pt>
                <c:pt idx="54">
                  <c:v>63.524370279999999</c:v>
                </c:pt>
                <c:pt idx="55">
                  <c:v>63.701530680000005</c:v>
                </c:pt>
                <c:pt idx="56">
                  <c:v>63.879501050000002</c:v>
                </c:pt>
                <c:pt idx="57">
                  <c:v>64.057926519999995</c:v>
                </c:pt>
                <c:pt idx="58">
                  <c:v>64.238092899999998</c:v>
                </c:pt>
                <c:pt idx="59">
                  <c:v>64.42174537999999</c:v>
                </c:pt>
                <c:pt idx="60">
                  <c:v>64.608062189999998</c:v>
                </c:pt>
                <c:pt idx="61">
                  <c:v>64.79886153999999</c:v>
                </c:pt>
                <c:pt idx="62">
                  <c:v>64.993034389999991</c:v>
                </c:pt>
                <c:pt idx="63">
                  <c:v>65.190597749999995</c:v>
                </c:pt>
                <c:pt idx="64">
                  <c:v>65.388565439999994</c:v>
                </c:pt>
                <c:pt idx="65">
                  <c:v>65.587994159999994</c:v>
                </c:pt>
                <c:pt idx="66">
                  <c:v>65.788528239999991</c:v>
                </c:pt>
                <c:pt idx="67">
                  <c:v>65.991003899999995</c:v>
                </c:pt>
                <c:pt idx="68">
                  <c:v>66.192306289999991</c:v>
                </c:pt>
                <c:pt idx="69">
                  <c:v>66.393879189999993</c:v>
                </c:pt>
                <c:pt idx="70">
                  <c:v>66.595581379999999</c:v>
                </c:pt>
                <c:pt idx="71">
                  <c:v>66.798087789999997</c:v>
                </c:pt>
                <c:pt idx="72">
                  <c:v>66.999743269999996</c:v>
                </c:pt>
                <c:pt idx="73">
                  <c:v>67.200814349999987</c:v>
                </c:pt>
                <c:pt idx="74">
                  <c:v>67.398959619999999</c:v>
                </c:pt>
                <c:pt idx="75">
                  <c:v>67.596085099999996</c:v>
                </c:pt>
                <c:pt idx="76">
                  <c:v>67.790484639999988</c:v>
                </c:pt>
                <c:pt idx="77">
                  <c:v>67.982110829999996</c:v>
                </c:pt>
                <c:pt idx="78">
                  <c:v>68.169822490000001</c:v>
                </c:pt>
                <c:pt idx="79">
                  <c:v>68.354314129999992</c:v>
                </c:pt>
                <c:pt idx="80">
                  <c:v>68.534787600000001</c:v>
                </c:pt>
              </c:numCache>
            </c:numRef>
          </c:val>
          <c:extLst>
            <c:ext xmlns:c16="http://schemas.microsoft.com/office/drawing/2014/chart" uri="{C3380CC4-5D6E-409C-BE32-E72D297353CC}">
              <c16:uniqueId val="{00000000-3840-4112-B993-72E7F058DCEB}"/>
            </c:ext>
          </c:extLst>
        </c:ser>
        <c:ser>
          <c:idx val="0"/>
          <c:order val="1"/>
          <c:tx>
            <c:v>Unmeasured household consumption</c:v>
          </c:tx>
          <c:spPr>
            <a:ln w="25400">
              <a:noFill/>
            </a:ln>
          </c:spPr>
          <c:cat>
            <c:strRef>
              <c:f>CAMCAM!$G$204:$CI$204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CAMCAM!$G$387:$CI$387</c:f>
              <c:numCache>
                <c:formatCode>0.00</c:formatCode>
                <c:ptCount val="81"/>
                <c:pt idx="0">
                  <c:v>21.35</c:v>
                </c:pt>
                <c:pt idx="1">
                  <c:v>20.94</c:v>
                </c:pt>
                <c:pt idx="2">
                  <c:v>21.031296999999999</c:v>
                </c:pt>
                <c:pt idx="3">
                  <c:v>19.817300630000002</c:v>
                </c:pt>
                <c:pt idx="4">
                  <c:v>18.61731112</c:v>
                </c:pt>
                <c:pt idx="5">
                  <c:v>17.471758010000002</c:v>
                </c:pt>
                <c:pt idx="6">
                  <c:v>17.033873190000001</c:v>
                </c:pt>
                <c:pt idx="7">
                  <c:v>16.624464410000002</c:v>
                </c:pt>
                <c:pt idx="8">
                  <c:v>16.22374331</c:v>
                </c:pt>
                <c:pt idx="9">
                  <c:v>15.829324620000001</c:v>
                </c:pt>
                <c:pt idx="10">
                  <c:v>15.43724126</c:v>
                </c:pt>
                <c:pt idx="11">
                  <c:v>15.071756600000001</c:v>
                </c:pt>
                <c:pt idx="12">
                  <c:v>14.704851960000001</c:v>
                </c:pt>
                <c:pt idx="13">
                  <c:v>14.34053905</c:v>
                </c:pt>
                <c:pt idx="14">
                  <c:v>13.983740360000001</c:v>
                </c:pt>
                <c:pt idx="15">
                  <c:v>13.635355390000001</c:v>
                </c:pt>
                <c:pt idx="16">
                  <c:v>13.29551502</c:v>
                </c:pt>
                <c:pt idx="17">
                  <c:v>12.959349660000001</c:v>
                </c:pt>
                <c:pt idx="18">
                  <c:v>12.63312372</c:v>
                </c:pt>
                <c:pt idx="19">
                  <c:v>12.31882616</c:v>
                </c:pt>
                <c:pt idx="20">
                  <c:v>12.00963829</c:v>
                </c:pt>
                <c:pt idx="21">
                  <c:v>11.708891530000001</c:v>
                </c:pt>
                <c:pt idx="22">
                  <c:v>11.41732852</c:v>
                </c:pt>
                <c:pt idx="23">
                  <c:v>11.13436066</c:v>
                </c:pt>
                <c:pt idx="24">
                  <c:v>10.860056140000001</c:v>
                </c:pt>
                <c:pt idx="25">
                  <c:v>10.59304011</c:v>
                </c:pt>
                <c:pt idx="26">
                  <c:v>10.33225378</c:v>
                </c:pt>
                <c:pt idx="27">
                  <c:v>10.07829632</c:v>
                </c:pt>
                <c:pt idx="28">
                  <c:v>9.8316994510000004</c:v>
                </c:pt>
                <c:pt idx="29">
                  <c:v>9.5918076700000015</c:v>
                </c:pt>
                <c:pt idx="30">
                  <c:v>9.3578809420000013</c:v>
                </c:pt>
                <c:pt idx="31">
                  <c:v>9.1438252680000005</c:v>
                </c:pt>
                <c:pt idx="32">
                  <c:v>8.9354566430000002</c:v>
                </c:pt>
                <c:pt idx="33">
                  <c:v>8.732196836</c:v>
                </c:pt>
                <c:pt idx="34">
                  <c:v>8.533877587000001</c:v>
                </c:pt>
                <c:pt idx="35">
                  <c:v>8.3401429819999997</c:v>
                </c:pt>
                <c:pt idx="36">
                  <c:v>8.1505442070000012</c:v>
                </c:pt>
                <c:pt idx="37">
                  <c:v>7.9658012549999997</c:v>
                </c:pt>
                <c:pt idx="38">
                  <c:v>7.786221898</c:v>
                </c:pt>
                <c:pt idx="39">
                  <c:v>7.611304348</c:v>
                </c:pt>
                <c:pt idx="40">
                  <c:v>7.4405171500000007</c:v>
                </c:pt>
                <c:pt idx="41">
                  <c:v>7.2738691980000008</c:v>
                </c:pt>
                <c:pt idx="42">
                  <c:v>7.1114167490000009</c:v>
                </c:pt>
                <c:pt idx="43">
                  <c:v>6.9528941810000005</c:v>
                </c:pt>
                <c:pt idx="44">
                  <c:v>6.7979921399999998</c:v>
                </c:pt>
                <c:pt idx="45">
                  <c:v>6.6466643510000001</c:v>
                </c:pt>
                <c:pt idx="46">
                  <c:v>6.4988803439999998</c:v>
                </c:pt>
                <c:pt idx="47">
                  <c:v>6.3548896719999997</c:v>
                </c:pt>
                <c:pt idx="48">
                  <c:v>6.214611799</c:v>
                </c:pt>
                <c:pt idx="49">
                  <c:v>6.0777866709999993</c:v>
                </c:pt>
                <c:pt idx="50">
                  <c:v>5.9443145049999995</c:v>
                </c:pt>
                <c:pt idx="51">
                  <c:v>5.8140996299999994</c:v>
                </c:pt>
                <c:pt idx="52">
                  <c:v>5.687139674</c:v>
                </c:pt>
                <c:pt idx="53">
                  <c:v>5.5632811420000001</c:v>
                </c:pt>
                <c:pt idx="54">
                  <c:v>5.4425546649999994</c:v>
                </c:pt>
                <c:pt idx="55">
                  <c:v>5.3249477459999994</c:v>
                </c:pt>
                <c:pt idx="56">
                  <c:v>5.2102156929999994</c:v>
                </c:pt>
                <c:pt idx="57">
                  <c:v>5.0984940339999998</c:v>
                </c:pt>
                <c:pt idx="58">
                  <c:v>4.9896196029999995</c:v>
                </c:pt>
                <c:pt idx="59">
                  <c:v>4.8833452779999993</c:v>
                </c:pt>
                <c:pt idx="60">
                  <c:v>4.7796646259999997</c:v>
                </c:pt>
                <c:pt idx="61">
                  <c:v>4.6783077729999993</c:v>
                </c:pt>
                <c:pt idx="62">
                  <c:v>4.5793137079999999</c:v>
                </c:pt>
                <c:pt idx="63">
                  <c:v>4.4826419489999996</c:v>
                </c:pt>
                <c:pt idx="64">
                  <c:v>4.3883436959999997</c:v>
                </c:pt>
                <c:pt idx="65">
                  <c:v>4.2962996899999997</c:v>
                </c:pt>
                <c:pt idx="66">
                  <c:v>4.206397097</c:v>
                </c:pt>
                <c:pt idx="67">
                  <c:v>4.1186041969999998</c:v>
                </c:pt>
                <c:pt idx="68">
                  <c:v>4.0329216519999997</c:v>
                </c:pt>
                <c:pt idx="69">
                  <c:v>3.9492338489999996</c:v>
                </c:pt>
                <c:pt idx="70">
                  <c:v>3.8674630099999998</c:v>
                </c:pt>
                <c:pt idx="71">
                  <c:v>3.7874796279999998</c:v>
                </c:pt>
                <c:pt idx="72">
                  <c:v>3.7093793039999996</c:v>
                </c:pt>
                <c:pt idx="73">
                  <c:v>3.6331246659999996</c:v>
                </c:pt>
                <c:pt idx="74">
                  <c:v>3.5587949160000001</c:v>
                </c:pt>
                <c:pt idx="75">
                  <c:v>3.4861999350000001</c:v>
                </c:pt>
                <c:pt idx="76">
                  <c:v>3.4153084099999997</c:v>
                </c:pt>
                <c:pt idx="77">
                  <c:v>3.3461182439999995</c:v>
                </c:pt>
                <c:pt idx="78">
                  <c:v>3.2787028209999995</c:v>
                </c:pt>
                <c:pt idx="79">
                  <c:v>3.2129811019999996</c:v>
                </c:pt>
                <c:pt idx="80">
                  <c:v>3.1488732930000003</c:v>
                </c:pt>
              </c:numCache>
            </c:numRef>
          </c:val>
          <c:extLst>
            <c:ext xmlns:c16="http://schemas.microsoft.com/office/drawing/2014/chart" uri="{C3380CC4-5D6E-409C-BE32-E72D297353CC}">
              <c16:uniqueId val="{00000001-3840-4112-B993-72E7F058DCEB}"/>
            </c:ext>
          </c:extLst>
        </c:ser>
        <c:ser>
          <c:idx val="1"/>
          <c:order val="2"/>
          <c:tx>
            <c:v>Non-household consumption</c:v>
          </c:tx>
          <c:spPr>
            <a:ln w="25400">
              <a:noFill/>
            </a:ln>
          </c:spPr>
          <c:cat>
            <c:strRef>
              <c:f>CAMCAM!$G$204:$CI$204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CAMCAM!$G$388:$CI$388</c:f>
              <c:numCache>
                <c:formatCode>0.00</c:formatCode>
                <c:ptCount val="81"/>
                <c:pt idx="0">
                  <c:v>22.470000000000002</c:v>
                </c:pt>
                <c:pt idx="1">
                  <c:v>23.903559690000005</c:v>
                </c:pt>
                <c:pt idx="2">
                  <c:v>24.547230610000003</c:v>
                </c:pt>
                <c:pt idx="3">
                  <c:v>25.587165660000004</c:v>
                </c:pt>
                <c:pt idx="4">
                  <c:v>26.848108380000003</c:v>
                </c:pt>
                <c:pt idx="5">
                  <c:v>27.821185670000002</c:v>
                </c:pt>
                <c:pt idx="6">
                  <c:v>28.469952140000004</c:v>
                </c:pt>
                <c:pt idx="7">
                  <c:v>29.137201370000003</c:v>
                </c:pt>
                <c:pt idx="8">
                  <c:v>29.800065120000003</c:v>
                </c:pt>
                <c:pt idx="9">
                  <c:v>30.408994180000004</c:v>
                </c:pt>
                <c:pt idx="10">
                  <c:v>30.972555440000004</c:v>
                </c:pt>
                <c:pt idx="11">
                  <c:v>31.539617170000003</c:v>
                </c:pt>
                <c:pt idx="12">
                  <c:v>32.055802209999996</c:v>
                </c:pt>
                <c:pt idx="13">
                  <c:v>32.53902935</c:v>
                </c:pt>
                <c:pt idx="14">
                  <c:v>33.069928449999999</c:v>
                </c:pt>
                <c:pt idx="15">
                  <c:v>33.533209849999999</c:v>
                </c:pt>
                <c:pt idx="16">
                  <c:v>34.017829459999994</c:v>
                </c:pt>
                <c:pt idx="17">
                  <c:v>34.510517379999996</c:v>
                </c:pt>
                <c:pt idx="18">
                  <c:v>34.979892589999999</c:v>
                </c:pt>
                <c:pt idx="19">
                  <c:v>35.41255245</c:v>
                </c:pt>
                <c:pt idx="20">
                  <c:v>35.489511983999996</c:v>
                </c:pt>
                <c:pt idx="21">
                  <c:v>35.566471518999997</c:v>
                </c:pt>
                <c:pt idx="22">
                  <c:v>35.643431053</c:v>
                </c:pt>
                <c:pt idx="23">
                  <c:v>35.720390587999994</c:v>
                </c:pt>
                <c:pt idx="24">
                  <c:v>35.797350121999997</c:v>
                </c:pt>
                <c:pt idx="25">
                  <c:v>35.874309656999998</c:v>
                </c:pt>
                <c:pt idx="26">
                  <c:v>35.951269190999994</c:v>
                </c:pt>
                <c:pt idx="27">
                  <c:v>36.028228725999995</c:v>
                </c:pt>
                <c:pt idx="28">
                  <c:v>36.105188259999998</c:v>
                </c:pt>
                <c:pt idx="29">
                  <c:v>36.182147794999992</c:v>
                </c:pt>
                <c:pt idx="30">
                  <c:v>36.259107328999995</c:v>
                </c:pt>
                <c:pt idx="31">
                  <c:v>36.336066864000003</c:v>
                </c:pt>
                <c:pt idx="32">
                  <c:v>36.413026398</c:v>
                </c:pt>
                <c:pt idx="33">
                  <c:v>36.489985933</c:v>
                </c:pt>
                <c:pt idx="34">
                  <c:v>36.566945466999996</c:v>
                </c:pt>
                <c:pt idx="35">
                  <c:v>36.643905001</c:v>
                </c:pt>
                <c:pt idx="36">
                  <c:v>36.720864535999993</c:v>
                </c:pt>
                <c:pt idx="37">
                  <c:v>36.797824069999997</c:v>
                </c:pt>
                <c:pt idx="38">
                  <c:v>36.874783604999998</c:v>
                </c:pt>
                <c:pt idx="39">
                  <c:v>36.951743138999994</c:v>
                </c:pt>
                <c:pt idx="40">
                  <c:v>37.028702683999995</c:v>
                </c:pt>
                <c:pt idx="41">
                  <c:v>37.105662217999999</c:v>
                </c:pt>
                <c:pt idx="42">
                  <c:v>37.182621752999992</c:v>
                </c:pt>
                <c:pt idx="43">
                  <c:v>37.259581286999996</c:v>
                </c:pt>
                <c:pt idx="44">
                  <c:v>37.336540821999996</c:v>
                </c:pt>
                <c:pt idx="45">
                  <c:v>37.413500355999993</c:v>
                </c:pt>
                <c:pt idx="46">
                  <c:v>37.490459891</c:v>
                </c:pt>
                <c:pt idx="47">
                  <c:v>37.567419424999997</c:v>
                </c:pt>
                <c:pt idx="48">
                  <c:v>37.644378959000001</c:v>
                </c:pt>
                <c:pt idx="49">
                  <c:v>37.721338493999994</c:v>
                </c:pt>
                <c:pt idx="50">
                  <c:v>37.798298027999998</c:v>
                </c:pt>
                <c:pt idx="51">
                  <c:v>37.875257562999998</c:v>
                </c:pt>
                <c:pt idx="52">
                  <c:v>37.952217096999995</c:v>
                </c:pt>
                <c:pt idx="53">
                  <c:v>38.029176631999995</c:v>
                </c:pt>
                <c:pt idx="54">
                  <c:v>38.106136165999999</c:v>
                </c:pt>
                <c:pt idx="55">
                  <c:v>38.183095700999992</c:v>
                </c:pt>
                <c:pt idx="56">
                  <c:v>38.260055234999996</c:v>
                </c:pt>
                <c:pt idx="57">
                  <c:v>38.337014769999996</c:v>
                </c:pt>
                <c:pt idx="58">
                  <c:v>38.413974304</c:v>
                </c:pt>
                <c:pt idx="59">
                  <c:v>38.490933838999993</c:v>
                </c:pt>
                <c:pt idx="60">
                  <c:v>38.567893372999997</c:v>
                </c:pt>
                <c:pt idx="61">
                  <c:v>38.644852908000004</c:v>
                </c:pt>
                <c:pt idx="62">
                  <c:v>38.721812441999994</c:v>
                </c:pt>
                <c:pt idx="63">
                  <c:v>38.798771975999998</c:v>
                </c:pt>
                <c:pt idx="64">
                  <c:v>38.875731510999998</c:v>
                </c:pt>
                <c:pt idx="65">
                  <c:v>38.952691044999995</c:v>
                </c:pt>
                <c:pt idx="66">
                  <c:v>39.029650579999995</c:v>
                </c:pt>
                <c:pt idx="67">
                  <c:v>39.106610113999999</c:v>
                </c:pt>
                <c:pt idx="68">
                  <c:v>39.183569648999999</c:v>
                </c:pt>
                <c:pt idx="69">
                  <c:v>39.260529182999996</c:v>
                </c:pt>
                <c:pt idx="70">
                  <c:v>39.337488717999996</c:v>
                </c:pt>
                <c:pt idx="71">
                  <c:v>39.414448252</c:v>
                </c:pt>
                <c:pt idx="72">
                  <c:v>39.491407786999993</c:v>
                </c:pt>
                <c:pt idx="73">
                  <c:v>39.568367320999997</c:v>
                </c:pt>
                <c:pt idx="74">
                  <c:v>39.645326855999997</c:v>
                </c:pt>
                <c:pt idx="75">
                  <c:v>39.722286389999994</c:v>
                </c:pt>
                <c:pt idx="76">
                  <c:v>39.799245925000001</c:v>
                </c:pt>
                <c:pt idx="77">
                  <c:v>39.876205458999998</c:v>
                </c:pt>
                <c:pt idx="78">
                  <c:v>39.953164992999994</c:v>
                </c:pt>
                <c:pt idx="79">
                  <c:v>39.953164992999994</c:v>
                </c:pt>
                <c:pt idx="80">
                  <c:v>39.953164992999994</c:v>
                </c:pt>
              </c:numCache>
            </c:numRef>
          </c:val>
          <c:extLst>
            <c:ext xmlns:c16="http://schemas.microsoft.com/office/drawing/2014/chart" uri="{C3380CC4-5D6E-409C-BE32-E72D297353CC}">
              <c16:uniqueId val="{00000002-3840-4112-B993-72E7F058DCEB}"/>
            </c:ext>
          </c:extLst>
        </c:ser>
        <c:ser>
          <c:idx val="2"/>
          <c:order val="3"/>
          <c:tx>
            <c:v>Total leakage</c:v>
          </c:tx>
          <c:spPr>
            <a:ln w="25400">
              <a:noFill/>
            </a:ln>
          </c:spPr>
          <c:cat>
            <c:strRef>
              <c:f>CAMCAM!$G$204:$CI$204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CAMCAM!$G$389:$CI$389</c:f>
              <c:numCache>
                <c:formatCode>0.00</c:formatCode>
                <c:ptCount val="81"/>
                <c:pt idx="0">
                  <c:v>13.5</c:v>
                </c:pt>
                <c:pt idx="1">
                  <c:v>13.5</c:v>
                </c:pt>
                <c:pt idx="2">
                  <c:v>13.510000000000002</c:v>
                </c:pt>
                <c:pt idx="3">
                  <c:v>13.510000000000002</c:v>
                </c:pt>
                <c:pt idx="4">
                  <c:v>13.510000000000002</c:v>
                </c:pt>
                <c:pt idx="5">
                  <c:v>13.2</c:v>
                </c:pt>
                <c:pt idx="6">
                  <c:v>13.2</c:v>
                </c:pt>
                <c:pt idx="7">
                  <c:v>13.2</c:v>
                </c:pt>
                <c:pt idx="8">
                  <c:v>13.2</c:v>
                </c:pt>
                <c:pt idx="9">
                  <c:v>13.2</c:v>
                </c:pt>
                <c:pt idx="10">
                  <c:v>13.2</c:v>
                </c:pt>
                <c:pt idx="11">
                  <c:v>13.2</c:v>
                </c:pt>
                <c:pt idx="12">
                  <c:v>13.2</c:v>
                </c:pt>
                <c:pt idx="13">
                  <c:v>13.2</c:v>
                </c:pt>
                <c:pt idx="14">
                  <c:v>13.2</c:v>
                </c:pt>
                <c:pt idx="15">
                  <c:v>13.2</c:v>
                </c:pt>
                <c:pt idx="16">
                  <c:v>13.2</c:v>
                </c:pt>
                <c:pt idx="17">
                  <c:v>13.2</c:v>
                </c:pt>
                <c:pt idx="18">
                  <c:v>13.2</c:v>
                </c:pt>
                <c:pt idx="19">
                  <c:v>13.2</c:v>
                </c:pt>
                <c:pt idx="20">
                  <c:v>13.2</c:v>
                </c:pt>
                <c:pt idx="21">
                  <c:v>13.2</c:v>
                </c:pt>
                <c:pt idx="22">
                  <c:v>13.2</c:v>
                </c:pt>
                <c:pt idx="23">
                  <c:v>13.2</c:v>
                </c:pt>
                <c:pt idx="24">
                  <c:v>13.2</c:v>
                </c:pt>
                <c:pt idx="25">
                  <c:v>13.2</c:v>
                </c:pt>
                <c:pt idx="26">
                  <c:v>13.2</c:v>
                </c:pt>
                <c:pt idx="27">
                  <c:v>13.2</c:v>
                </c:pt>
                <c:pt idx="28">
                  <c:v>13.2</c:v>
                </c:pt>
                <c:pt idx="29">
                  <c:v>13.2</c:v>
                </c:pt>
                <c:pt idx="30">
                  <c:v>13.2</c:v>
                </c:pt>
                <c:pt idx="31">
                  <c:v>13.2</c:v>
                </c:pt>
                <c:pt idx="32">
                  <c:v>13.2</c:v>
                </c:pt>
                <c:pt idx="33">
                  <c:v>13.2</c:v>
                </c:pt>
                <c:pt idx="34">
                  <c:v>13.2</c:v>
                </c:pt>
                <c:pt idx="35">
                  <c:v>13.2</c:v>
                </c:pt>
                <c:pt idx="36">
                  <c:v>13.2</c:v>
                </c:pt>
                <c:pt idx="37">
                  <c:v>13.2</c:v>
                </c:pt>
                <c:pt idx="38">
                  <c:v>13.2</c:v>
                </c:pt>
                <c:pt idx="39">
                  <c:v>13.2</c:v>
                </c:pt>
                <c:pt idx="40">
                  <c:v>13.2</c:v>
                </c:pt>
                <c:pt idx="41">
                  <c:v>13.2</c:v>
                </c:pt>
                <c:pt idx="42">
                  <c:v>13.2</c:v>
                </c:pt>
                <c:pt idx="43">
                  <c:v>13.2</c:v>
                </c:pt>
                <c:pt idx="44">
                  <c:v>13.2</c:v>
                </c:pt>
                <c:pt idx="45">
                  <c:v>13.2</c:v>
                </c:pt>
                <c:pt idx="46">
                  <c:v>13.2</c:v>
                </c:pt>
                <c:pt idx="47">
                  <c:v>13.2</c:v>
                </c:pt>
                <c:pt idx="48">
                  <c:v>13.2</c:v>
                </c:pt>
                <c:pt idx="49">
                  <c:v>13.2</c:v>
                </c:pt>
                <c:pt idx="50">
                  <c:v>13.2</c:v>
                </c:pt>
                <c:pt idx="51">
                  <c:v>13.2</c:v>
                </c:pt>
                <c:pt idx="52">
                  <c:v>13.2</c:v>
                </c:pt>
                <c:pt idx="53">
                  <c:v>13.2</c:v>
                </c:pt>
                <c:pt idx="54">
                  <c:v>13.2</c:v>
                </c:pt>
                <c:pt idx="55">
                  <c:v>13.2</c:v>
                </c:pt>
                <c:pt idx="56">
                  <c:v>13.2</c:v>
                </c:pt>
                <c:pt idx="57">
                  <c:v>13.2</c:v>
                </c:pt>
                <c:pt idx="58">
                  <c:v>13.2</c:v>
                </c:pt>
                <c:pt idx="59">
                  <c:v>13.2</c:v>
                </c:pt>
                <c:pt idx="60">
                  <c:v>13.2</c:v>
                </c:pt>
                <c:pt idx="61">
                  <c:v>13.2</c:v>
                </c:pt>
                <c:pt idx="62">
                  <c:v>13.2</c:v>
                </c:pt>
                <c:pt idx="63">
                  <c:v>13.2</c:v>
                </c:pt>
                <c:pt idx="64">
                  <c:v>13.2</c:v>
                </c:pt>
                <c:pt idx="65">
                  <c:v>13.2</c:v>
                </c:pt>
                <c:pt idx="66">
                  <c:v>13.2</c:v>
                </c:pt>
                <c:pt idx="67">
                  <c:v>13.2</c:v>
                </c:pt>
                <c:pt idx="68">
                  <c:v>13.2</c:v>
                </c:pt>
                <c:pt idx="69">
                  <c:v>13.2</c:v>
                </c:pt>
                <c:pt idx="70">
                  <c:v>13.2</c:v>
                </c:pt>
                <c:pt idx="71">
                  <c:v>13.2</c:v>
                </c:pt>
                <c:pt idx="72">
                  <c:v>13.2</c:v>
                </c:pt>
                <c:pt idx="73">
                  <c:v>13.2</c:v>
                </c:pt>
                <c:pt idx="74">
                  <c:v>13.2</c:v>
                </c:pt>
                <c:pt idx="75">
                  <c:v>13.2</c:v>
                </c:pt>
                <c:pt idx="76">
                  <c:v>13.2</c:v>
                </c:pt>
                <c:pt idx="77">
                  <c:v>13.2</c:v>
                </c:pt>
                <c:pt idx="78">
                  <c:v>13.2</c:v>
                </c:pt>
                <c:pt idx="79">
                  <c:v>13.2</c:v>
                </c:pt>
                <c:pt idx="80">
                  <c:v>13.2</c:v>
                </c:pt>
              </c:numCache>
            </c:numRef>
          </c:val>
          <c:extLst>
            <c:ext xmlns:c16="http://schemas.microsoft.com/office/drawing/2014/chart" uri="{C3380CC4-5D6E-409C-BE32-E72D297353CC}">
              <c16:uniqueId val="{00000003-3840-4112-B993-72E7F058DCEB}"/>
            </c:ext>
          </c:extLst>
        </c:ser>
        <c:ser>
          <c:idx val="3"/>
          <c:order val="4"/>
          <c:tx>
            <c:v>Other components of demand</c:v>
          </c:tx>
          <c:spPr>
            <a:ln w="25400">
              <a:noFill/>
            </a:ln>
          </c:spPr>
          <c:cat>
            <c:strRef>
              <c:f>CAMCAM!$G$204:$CI$204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CAMCAM!$G$390:$CI$390</c:f>
              <c:numCache>
                <c:formatCode>0.00</c:formatCode>
                <c:ptCount val="81"/>
                <c:pt idx="0">
                  <c:v>0.54000000000000625</c:v>
                </c:pt>
                <c:pt idx="1">
                  <c:v>0.53999999999999204</c:v>
                </c:pt>
                <c:pt idx="2">
                  <c:v>0.53999999999999204</c:v>
                </c:pt>
                <c:pt idx="3">
                  <c:v>0.54000000000000625</c:v>
                </c:pt>
                <c:pt idx="4">
                  <c:v>0.53999999999999204</c:v>
                </c:pt>
                <c:pt idx="5">
                  <c:v>0.53999999999999204</c:v>
                </c:pt>
                <c:pt idx="6">
                  <c:v>0.53999999999999204</c:v>
                </c:pt>
                <c:pt idx="7">
                  <c:v>0.53999999999999204</c:v>
                </c:pt>
                <c:pt idx="8">
                  <c:v>0.53999999999999204</c:v>
                </c:pt>
                <c:pt idx="9">
                  <c:v>0.54000000000000625</c:v>
                </c:pt>
                <c:pt idx="10">
                  <c:v>0.53999999999999204</c:v>
                </c:pt>
                <c:pt idx="11">
                  <c:v>0.53999999999999204</c:v>
                </c:pt>
                <c:pt idx="12">
                  <c:v>0.53999999999999204</c:v>
                </c:pt>
                <c:pt idx="13">
                  <c:v>0.54000000000000625</c:v>
                </c:pt>
                <c:pt idx="14">
                  <c:v>0.54000000000000625</c:v>
                </c:pt>
                <c:pt idx="15">
                  <c:v>0.54000000000000625</c:v>
                </c:pt>
                <c:pt idx="16">
                  <c:v>0.53999999999999204</c:v>
                </c:pt>
                <c:pt idx="17">
                  <c:v>0.54000000000002046</c:v>
                </c:pt>
                <c:pt idx="18">
                  <c:v>0.54000000000002046</c:v>
                </c:pt>
                <c:pt idx="19">
                  <c:v>0.53999999999999204</c:v>
                </c:pt>
                <c:pt idx="20">
                  <c:v>0.53999999999997783</c:v>
                </c:pt>
                <c:pt idx="21">
                  <c:v>0.54000000000000625</c:v>
                </c:pt>
                <c:pt idx="22">
                  <c:v>0.54000000000000625</c:v>
                </c:pt>
                <c:pt idx="23">
                  <c:v>0.53999999999999204</c:v>
                </c:pt>
                <c:pt idx="24">
                  <c:v>0.53999999999999204</c:v>
                </c:pt>
                <c:pt idx="25">
                  <c:v>0.54000000000000625</c:v>
                </c:pt>
                <c:pt idx="26">
                  <c:v>0.53999999999999204</c:v>
                </c:pt>
                <c:pt idx="27">
                  <c:v>0.53999999999999204</c:v>
                </c:pt>
                <c:pt idx="28">
                  <c:v>0.54000000000000625</c:v>
                </c:pt>
                <c:pt idx="29">
                  <c:v>0.53999999999999204</c:v>
                </c:pt>
                <c:pt idx="30">
                  <c:v>0.54000000000002046</c:v>
                </c:pt>
                <c:pt idx="31">
                  <c:v>0.54000000000000625</c:v>
                </c:pt>
                <c:pt idx="32">
                  <c:v>0.54000000000000625</c:v>
                </c:pt>
                <c:pt idx="33">
                  <c:v>0.53999999999999204</c:v>
                </c:pt>
                <c:pt idx="34">
                  <c:v>0.54000000000000625</c:v>
                </c:pt>
                <c:pt idx="35">
                  <c:v>0.54000000000000625</c:v>
                </c:pt>
                <c:pt idx="36">
                  <c:v>0.54000000000000625</c:v>
                </c:pt>
                <c:pt idx="37">
                  <c:v>0.54000000000000625</c:v>
                </c:pt>
                <c:pt idx="38">
                  <c:v>0.54000000000000625</c:v>
                </c:pt>
                <c:pt idx="39">
                  <c:v>0.54000000000000625</c:v>
                </c:pt>
                <c:pt idx="40">
                  <c:v>0.54000000000002046</c:v>
                </c:pt>
                <c:pt idx="41">
                  <c:v>0.53999999999999204</c:v>
                </c:pt>
                <c:pt idx="42">
                  <c:v>0.54000000000002046</c:v>
                </c:pt>
                <c:pt idx="43">
                  <c:v>0.53999999999997783</c:v>
                </c:pt>
                <c:pt idx="44">
                  <c:v>0.53999999999997783</c:v>
                </c:pt>
                <c:pt idx="45">
                  <c:v>0.54000000000000625</c:v>
                </c:pt>
                <c:pt idx="46">
                  <c:v>0.54000000000000625</c:v>
                </c:pt>
                <c:pt idx="47">
                  <c:v>0.54000000000000625</c:v>
                </c:pt>
                <c:pt idx="48">
                  <c:v>0.54000000000002046</c:v>
                </c:pt>
                <c:pt idx="49">
                  <c:v>0.54000000000000625</c:v>
                </c:pt>
                <c:pt idx="50">
                  <c:v>0.54000000000000625</c:v>
                </c:pt>
                <c:pt idx="51">
                  <c:v>0.54000000000000625</c:v>
                </c:pt>
                <c:pt idx="52">
                  <c:v>0.54000000000002046</c:v>
                </c:pt>
                <c:pt idx="53">
                  <c:v>0.54000000000002046</c:v>
                </c:pt>
                <c:pt idx="54">
                  <c:v>0.54000000000000625</c:v>
                </c:pt>
                <c:pt idx="55">
                  <c:v>0.54000000000000625</c:v>
                </c:pt>
                <c:pt idx="56">
                  <c:v>0.54000000000002046</c:v>
                </c:pt>
                <c:pt idx="57">
                  <c:v>0.54000000000000625</c:v>
                </c:pt>
                <c:pt idx="58">
                  <c:v>0.54000000000000625</c:v>
                </c:pt>
                <c:pt idx="59">
                  <c:v>0.54000000000000625</c:v>
                </c:pt>
                <c:pt idx="60">
                  <c:v>0.54000000000000625</c:v>
                </c:pt>
                <c:pt idx="61">
                  <c:v>0.54000000000000625</c:v>
                </c:pt>
                <c:pt idx="62">
                  <c:v>0.54000000000000625</c:v>
                </c:pt>
                <c:pt idx="63">
                  <c:v>0.54000000000002046</c:v>
                </c:pt>
                <c:pt idx="64">
                  <c:v>0.54000000000000625</c:v>
                </c:pt>
                <c:pt idx="65">
                  <c:v>0.54000000000000625</c:v>
                </c:pt>
                <c:pt idx="66">
                  <c:v>0.54000000000000625</c:v>
                </c:pt>
                <c:pt idx="67">
                  <c:v>0.54000000000002046</c:v>
                </c:pt>
                <c:pt idx="68">
                  <c:v>0.54000000000000625</c:v>
                </c:pt>
                <c:pt idx="69">
                  <c:v>0.54000000000000625</c:v>
                </c:pt>
                <c:pt idx="70">
                  <c:v>0.54000000000000625</c:v>
                </c:pt>
                <c:pt idx="71">
                  <c:v>0.54000000000002046</c:v>
                </c:pt>
                <c:pt idx="72">
                  <c:v>0.54000000000002046</c:v>
                </c:pt>
                <c:pt idx="73">
                  <c:v>0.54000000000000625</c:v>
                </c:pt>
                <c:pt idx="74">
                  <c:v>0.54000000000000625</c:v>
                </c:pt>
                <c:pt idx="75">
                  <c:v>0.54000000000002046</c:v>
                </c:pt>
                <c:pt idx="76">
                  <c:v>0.54000000000000625</c:v>
                </c:pt>
                <c:pt idx="77">
                  <c:v>0.54000000000000625</c:v>
                </c:pt>
                <c:pt idx="78">
                  <c:v>0.54000000000000625</c:v>
                </c:pt>
                <c:pt idx="79">
                  <c:v>0.54000000000000625</c:v>
                </c:pt>
                <c:pt idx="80">
                  <c:v>0.54000000000000625</c:v>
                </c:pt>
              </c:numCache>
            </c:numRef>
          </c:val>
          <c:extLst>
            <c:ext xmlns:c16="http://schemas.microsoft.com/office/drawing/2014/chart" uri="{C3380CC4-5D6E-409C-BE32-E72D297353CC}">
              <c16:uniqueId val="{00000004-3840-4112-B993-72E7F058DCEB}"/>
            </c:ext>
          </c:extLst>
        </c:ser>
        <c:dLbls>
          <c:showLegendKey val="0"/>
          <c:showVal val="0"/>
          <c:showCatName val="0"/>
          <c:showSerName val="0"/>
          <c:showPercent val="0"/>
          <c:showBubbleSize val="0"/>
        </c:dLbls>
        <c:axId val="-1198617536"/>
        <c:axId val="-1198610464"/>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CAMCAM!$G$391:$CI$391</c:f>
              <c:numCache>
                <c:formatCode>0.00</c:formatCode>
                <c:ptCount val="81"/>
                <c:pt idx="0">
                  <c:v>137.38</c:v>
                </c:pt>
                <c:pt idx="1">
                  <c:v>137.38</c:v>
                </c:pt>
                <c:pt idx="2">
                  <c:v>137.38</c:v>
                </c:pt>
                <c:pt idx="3">
                  <c:v>137.38</c:v>
                </c:pt>
                <c:pt idx="4">
                  <c:v>137.38</c:v>
                </c:pt>
                <c:pt idx="5">
                  <c:v>137.38</c:v>
                </c:pt>
                <c:pt idx="6">
                  <c:v>124.8278473381295</c:v>
                </c:pt>
                <c:pt idx="7">
                  <c:v>124.67994733812951</c:v>
                </c:pt>
                <c:pt idx="8">
                  <c:v>124.1720473381295</c:v>
                </c:pt>
                <c:pt idx="9">
                  <c:v>124.02414733812951</c:v>
                </c:pt>
                <c:pt idx="10">
                  <c:v>123.8762473381295</c:v>
                </c:pt>
                <c:pt idx="11">
                  <c:v>105.7183473381295</c:v>
                </c:pt>
                <c:pt idx="12">
                  <c:v>105.5704473381295</c:v>
                </c:pt>
                <c:pt idx="13">
                  <c:v>105.4225473381295</c:v>
                </c:pt>
                <c:pt idx="14">
                  <c:v>105.2746473381295</c:v>
                </c:pt>
                <c:pt idx="15">
                  <c:v>105.1267473381295</c:v>
                </c:pt>
                <c:pt idx="16">
                  <c:v>104.9788473381295</c:v>
                </c:pt>
                <c:pt idx="17">
                  <c:v>104.8309473381295</c:v>
                </c:pt>
                <c:pt idx="18">
                  <c:v>104.6830473381295</c:v>
                </c:pt>
                <c:pt idx="19">
                  <c:v>104.53514733812951</c:v>
                </c:pt>
                <c:pt idx="20">
                  <c:v>104.3872473381295</c:v>
                </c:pt>
                <c:pt idx="21">
                  <c:v>72.349999999999994</c:v>
                </c:pt>
                <c:pt idx="22">
                  <c:v>72.349999999999994</c:v>
                </c:pt>
                <c:pt idx="23">
                  <c:v>72.349999999999994</c:v>
                </c:pt>
                <c:pt idx="24">
                  <c:v>72.349999999999994</c:v>
                </c:pt>
                <c:pt idx="25">
                  <c:v>72.349999999999994</c:v>
                </c:pt>
                <c:pt idx="26">
                  <c:v>72.349999999999994</c:v>
                </c:pt>
                <c:pt idx="27">
                  <c:v>72.349999999999994</c:v>
                </c:pt>
                <c:pt idx="28">
                  <c:v>72.349999999999994</c:v>
                </c:pt>
                <c:pt idx="29">
                  <c:v>72.349999999999994</c:v>
                </c:pt>
                <c:pt idx="30">
                  <c:v>72.349999999999994</c:v>
                </c:pt>
                <c:pt idx="31">
                  <c:v>72.349999999999994</c:v>
                </c:pt>
                <c:pt idx="32">
                  <c:v>72.349999999999994</c:v>
                </c:pt>
                <c:pt idx="33">
                  <c:v>72.349999999999994</c:v>
                </c:pt>
                <c:pt idx="34">
                  <c:v>72.349999999999994</c:v>
                </c:pt>
                <c:pt idx="35">
                  <c:v>72.349999999999994</c:v>
                </c:pt>
                <c:pt idx="36">
                  <c:v>72.349999999999994</c:v>
                </c:pt>
                <c:pt idx="37">
                  <c:v>72.349999999999994</c:v>
                </c:pt>
                <c:pt idx="38">
                  <c:v>72.349999999999994</c:v>
                </c:pt>
                <c:pt idx="39">
                  <c:v>72.349999999999994</c:v>
                </c:pt>
                <c:pt idx="40">
                  <c:v>72.349999999999994</c:v>
                </c:pt>
                <c:pt idx="41">
                  <c:v>72.349999999999994</c:v>
                </c:pt>
                <c:pt idx="42">
                  <c:v>72.349999999999994</c:v>
                </c:pt>
                <c:pt idx="43">
                  <c:v>72.349999999999994</c:v>
                </c:pt>
                <c:pt idx="44">
                  <c:v>72.349999999999994</c:v>
                </c:pt>
                <c:pt idx="45">
                  <c:v>72.349999999999994</c:v>
                </c:pt>
                <c:pt idx="46">
                  <c:v>72.349999999999994</c:v>
                </c:pt>
                <c:pt idx="47">
                  <c:v>72.349999999999994</c:v>
                </c:pt>
                <c:pt idx="48">
                  <c:v>72.349999999999994</c:v>
                </c:pt>
                <c:pt idx="49">
                  <c:v>72.349999999999994</c:v>
                </c:pt>
                <c:pt idx="50">
                  <c:v>72.349999999999994</c:v>
                </c:pt>
                <c:pt idx="51">
                  <c:v>72.349999999999994</c:v>
                </c:pt>
                <c:pt idx="52">
                  <c:v>72.349999999999994</c:v>
                </c:pt>
                <c:pt idx="53">
                  <c:v>72.349999999999994</c:v>
                </c:pt>
                <c:pt idx="54">
                  <c:v>72.349999999999994</c:v>
                </c:pt>
                <c:pt idx="55">
                  <c:v>72.349999999999994</c:v>
                </c:pt>
                <c:pt idx="56">
                  <c:v>72.349999999999994</c:v>
                </c:pt>
                <c:pt idx="57">
                  <c:v>72.349999999999994</c:v>
                </c:pt>
                <c:pt idx="58">
                  <c:v>72.349999999999994</c:v>
                </c:pt>
                <c:pt idx="59">
                  <c:v>72.349999999999994</c:v>
                </c:pt>
                <c:pt idx="60">
                  <c:v>72.349999999999994</c:v>
                </c:pt>
                <c:pt idx="61">
                  <c:v>72.349999999999994</c:v>
                </c:pt>
                <c:pt idx="62">
                  <c:v>72.349999999999994</c:v>
                </c:pt>
                <c:pt idx="63">
                  <c:v>72.349999999999994</c:v>
                </c:pt>
                <c:pt idx="64">
                  <c:v>72.349999999999994</c:v>
                </c:pt>
                <c:pt idx="65">
                  <c:v>72.349999999999994</c:v>
                </c:pt>
                <c:pt idx="66">
                  <c:v>72.349999999999994</c:v>
                </c:pt>
                <c:pt idx="67">
                  <c:v>72.349999999999994</c:v>
                </c:pt>
                <c:pt idx="68">
                  <c:v>72.349999999999994</c:v>
                </c:pt>
                <c:pt idx="69">
                  <c:v>72.349999999999994</c:v>
                </c:pt>
                <c:pt idx="70">
                  <c:v>72.349999999999994</c:v>
                </c:pt>
                <c:pt idx="71">
                  <c:v>72.349999999999994</c:v>
                </c:pt>
                <c:pt idx="72">
                  <c:v>72.349999999999994</c:v>
                </c:pt>
                <c:pt idx="73">
                  <c:v>72.349999999999994</c:v>
                </c:pt>
                <c:pt idx="74">
                  <c:v>72.349999999999994</c:v>
                </c:pt>
                <c:pt idx="75">
                  <c:v>72.349999999999994</c:v>
                </c:pt>
                <c:pt idx="76">
                  <c:v>72.349999999999994</c:v>
                </c:pt>
                <c:pt idx="77">
                  <c:v>72.349999999999994</c:v>
                </c:pt>
                <c:pt idx="78">
                  <c:v>72.349999999999994</c:v>
                </c:pt>
                <c:pt idx="79">
                  <c:v>72.349999999999994</c:v>
                </c:pt>
                <c:pt idx="80">
                  <c:v>72.349999999999994</c:v>
                </c:pt>
              </c:numCache>
            </c:numRef>
          </c:val>
          <c:smooth val="0"/>
          <c:extLst>
            <c:ext xmlns:c16="http://schemas.microsoft.com/office/drawing/2014/chart" uri="{C3380CC4-5D6E-409C-BE32-E72D297353CC}">
              <c16:uniqueId val="{00000005-3840-4112-B993-72E7F058DCEB}"/>
            </c:ext>
          </c:extLst>
        </c:ser>
        <c:ser>
          <c:idx val="5"/>
          <c:order val="6"/>
          <c:tx>
            <c:v>Total demand + target headroom (baseline)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CAMCAM!$G$392:$CI$392</c:f>
              <c:numCache>
                <c:formatCode>0.00</c:formatCode>
                <c:ptCount val="81"/>
                <c:pt idx="0">
                  <c:v>90.940000000000012</c:v>
                </c:pt>
                <c:pt idx="1">
                  <c:v>92.983559690000007</c:v>
                </c:pt>
                <c:pt idx="2">
                  <c:v>100.24366295</c:v>
                </c:pt>
                <c:pt idx="3">
                  <c:v>104.96501184714751</c:v>
                </c:pt>
                <c:pt idx="4">
                  <c:v>105.4945452745461</c:v>
                </c:pt>
                <c:pt idx="5">
                  <c:v>104.4782110426579</c:v>
                </c:pt>
                <c:pt idx="6">
                  <c:v>106.19944624189301</c:v>
                </c:pt>
                <c:pt idx="7">
                  <c:v>107.54991081986962</c:v>
                </c:pt>
                <c:pt idx="8">
                  <c:v>109.03884601555053</c:v>
                </c:pt>
                <c:pt idx="9">
                  <c:v>110.63301227155486</c:v>
                </c:pt>
                <c:pt idx="10">
                  <c:v>112.00434000291907</c:v>
                </c:pt>
                <c:pt idx="11">
                  <c:v>111.87521272553791</c:v>
                </c:pt>
                <c:pt idx="12">
                  <c:v>112.79733130591214</c:v>
                </c:pt>
                <c:pt idx="13">
                  <c:v>113.65358787710549</c:v>
                </c:pt>
                <c:pt idx="14">
                  <c:v>114.61352523204147</c:v>
                </c:pt>
                <c:pt idx="15">
                  <c:v>115.35823062598809</c:v>
                </c:pt>
                <c:pt idx="16">
                  <c:v>115.01476392511778</c:v>
                </c:pt>
                <c:pt idx="17">
                  <c:v>115.70866410766607</c:v>
                </c:pt>
                <c:pt idx="18">
                  <c:v>116.33535071103755</c:v>
                </c:pt>
                <c:pt idx="19">
                  <c:v>117.01218157969819</c:v>
                </c:pt>
                <c:pt idx="20">
                  <c:v>117.60129203903443</c:v>
                </c:pt>
                <c:pt idx="21">
                  <c:v>117.30650432557019</c:v>
                </c:pt>
                <c:pt idx="22">
                  <c:v>117.50954516966098</c:v>
                </c:pt>
                <c:pt idx="23">
                  <c:v>117.69001570826927</c:v>
                </c:pt>
                <c:pt idx="24">
                  <c:v>118.21058051675132</c:v>
                </c:pt>
                <c:pt idx="25">
                  <c:v>118.33772021289234</c:v>
                </c:pt>
                <c:pt idx="26">
                  <c:v>118.78203547870524</c:v>
                </c:pt>
                <c:pt idx="27">
                  <c:v>118.98358189641102</c:v>
                </c:pt>
                <c:pt idx="28">
                  <c:v>119.17685428978221</c:v>
                </c:pt>
                <c:pt idx="29">
                  <c:v>119.46966411155142</c:v>
                </c:pt>
                <c:pt idx="30">
                  <c:v>119.37396641733827</c:v>
                </c:pt>
                <c:pt idx="31">
                  <c:v>119.761530938915</c:v>
                </c:pt>
                <c:pt idx="32">
                  <c:v>119.85513992842677</c:v>
                </c:pt>
                <c:pt idx="33">
                  <c:v>119.9895028358379</c:v>
                </c:pt>
                <c:pt idx="34">
                  <c:v>120.13145557857752</c:v>
                </c:pt>
                <c:pt idx="35">
                  <c:v>120.14076265294818</c:v>
                </c:pt>
                <c:pt idx="36">
                  <c:v>120.3853929897045</c:v>
                </c:pt>
                <c:pt idx="37">
                  <c:v>120.42657782225463</c:v>
                </c:pt>
                <c:pt idx="38">
                  <c:v>120.4923031236516</c:v>
                </c:pt>
                <c:pt idx="39">
                  <c:v>120.69286782898432</c:v>
                </c:pt>
                <c:pt idx="40">
                  <c:v>120.68525955104097</c:v>
                </c:pt>
                <c:pt idx="41">
                  <c:v>120.77089298251992</c:v>
                </c:pt>
                <c:pt idx="42">
                  <c:v>120.77339889109382</c:v>
                </c:pt>
                <c:pt idx="43">
                  <c:v>120.822859051021</c:v>
                </c:pt>
                <c:pt idx="44">
                  <c:v>121.08976917303357</c:v>
                </c:pt>
                <c:pt idx="45">
                  <c:v>120.95434611662938</c:v>
                </c:pt>
                <c:pt idx="46">
                  <c:v>121.18434651558501</c:v>
                </c:pt>
                <c:pt idx="47">
                  <c:v>121.16565125606644</c:v>
                </c:pt>
                <c:pt idx="48">
                  <c:v>121.31472530834161</c:v>
                </c:pt>
                <c:pt idx="49">
                  <c:v>121.28743478440786</c:v>
                </c:pt>
                <c:pt idx="50">
                  <c:v>121.13771054454273</c:v>
                </c:pt>
                <c:pt idx="51">
                  <c:v>121.52620414068627</c:v>
                </c:pt>
                <c:pt idx="52">
                  <c:v>121.50616677924853</c:v>
                </c:pt>
                <c:pt idx="53">
                  <c:v>121.77412336308241</c:v>
                </c:pt>
                <c:pt idx="54">
                  <c:v>121.89570588820439</c:v>
                </c:pt>
                <c:pt idx="55">
                  <c:v>121.75961570986735</c:v>
                </c:pt>
                <c:pt idx="56">
                  <c:v>122.16610538574527</c:v>
                </c:pt>
                <c:pt idx="57">
                  <c:v>122.04901182945932</c:v>
                </c:pt>
                <c:pt idx="58">
                  <c:v>122.17115829547748</c:v>
                </c:pt>
                <c:pt idx="59">
                  <c:v>122.34733644074369</c:v>
                </c:pt>
                <c:pt idx="60">
                  <c:v>122.61181270887181</c:v>
                </c:pt>
                <c:pt idx="61">
                  <c:v>122.74655611973088</c:v>
                </c:pt>
                <c:pt idx="62">
                  <c:v>122.8749005464186</c:v>
                </c:pt>
                <c:pt idx="63">
                  <c:v>122.84605320900451</c:v>
                </c:pt>
                <c:pt idx="64">
                  <c:v>123.26262702545624</c:v>
                </c:pt>
                <c:pt idx="65">
                  <c:v>123.31869985082677</c:v>
                </c:pt>
                <c:pt idx="66">
                  <c:v>123.29193810752373</c:v>
                </c:pt>
                <c:pt idx="67">
                  <c:v>123.75928684184659</c:v>
                </c:pt>
                <c:pt idx="68">
                  <c:v>123.8690835743011</c:v>
                </c:pt>
                <c:pt idx="69">
                  <c:v>123.89734248678803</c:v>
                </c:pt>
                <c:pt idx="70">
                  <c:v>124.23687412086974</c:v>
                </c:pt>
                <c:pt idx="71">
                  <c:v>124.55254354628596</c:v>
                </c:pt>
                <c:pt idx="72">
                  <c:v>124.75453530393487</c:v>
                </c:pt>
                <c:pt idx="73">
                  <c:v>124.86829080286844</c:v>
                </c:pt>
                <c:pt idx="74">
                  <c:v>125.02984765192775</c:v>
                </c:pt>
                <c:pt idx="75">
                  <c:v>125.0453610147072</c:v>
                </c:pt>
                <c:pt idx="76">
                  <c:v>125.41694252664171</c:v>
                </c:pt>
                <c:pt idx="77">
                  <c:v>125.52824234117762</c:v>
                </c:pt>
                <c:pt idx="78">
                  <c:v>125.79196560536847</c:v>
                </c:pt>
                <c:pt idx="79">
                  <c:v>125.83222752707121</c:v>
                </c:pt>
                <c:pt idx="80">
                  <c:v>126.18567802980412</c:v>
                </c:pt>
              </c:numCache>
            </c:numRef>
          </c:val>
          <c:smooth val="0"/>
          <c:extLst>
            <c:ext xmlns:c16="http://schemas.microsoft.com/office/drawing/2014/chart" uri="{C3380CC4-5D6E-409C-BE32-E72D297353CC}">
              <c16:uniqueId val="{00000006-3840-4112-B993-72E7F058DCEB}"/>
            </c:ext>
          </c:extLst>
        </c:ser>
        <c:dLbls>
          <c:showLegendKey val="0"/>
          <c:showVal val="0"/>
          <c:showCatName val="0"/>
          <c:showSerName val="0"/>
          <c:showPercent val="0"/>
          <c:showBubbleSize val="0"/>
        </c:dLbls>
        <c:marker val="1"/>
        <c:smooth val="0"/>
        <c:axId val="-1198617536"/>
        <c:axId val="-1198610464"/>
      </c:lineChart>
      <c:catAx>
        <c:axId val="-1198617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198610464"/>
        <c:crosses val="autoZero"/>
        <c:auto val="1"/>
        <c:lblAlgn val="ctr"/>
        <c:lblOffset val="100"/>
        <c:tickLblSkip val="2"/>
        <c:tickMarkSkip val="1"/>
        <c:noMultiLvlLbl val="0"/>
      </c:catAx>
      <c:valAx>
        <c:axId val="-1198610464"/>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98617536"/>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7.6783817870713256E-2"/>
          <c:y val="0.82158446545736608"/>
          <c:w val="0.87887502711213583"/>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5"/>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DYCP Final Plan Water Supply-Demand Balance and Components of Demand</a:t>
            </a:r>
          </a:p>
        </c:rich>
      </c:tx>
      <c:layout>
        <c:manualLayout>
          <c:xMode val="edge"/>
          <c:yMode val="edge"/>
          <c:x val="0.13900747501881483"/>
          <c:y val="1.1596746986299493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CAMCAM!$G$204:$CI$204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CAMCAM!$G$395:$CI$395</c:f>
              <c:numCache>
                <c:formatCode>0.00</c:formatCode>
                <c:ptCount val="81"/>
                <c:pt idx="0">
                  <c:v>33.08</c:v>
                </c:pt>
                <c:pt idx="1">
                  <c:v>34.1</c:v>
                </c:pt>
                <c:pt idx="2">
                  <c:v>40.615135340000002</c:v>
                </c:pt>
                <c:pt idx="3">
                  <c:v>40.854823109999998</c:v>
                </c:pt>
                <c:pt idx="4">
                  <c:v>40.763159250000001</c:v>
                </c:pt>
                <c:pt idx="5">
                  <c:v>40.581026379999997</c:v>
                </c:pt>
                <c:pt idx="6">
                  <c:v>42.432405678181816</c:v>
                </c:pt>
                <c:pt idx="7">
                  <c:v>43.99005577636364</c:v>
                </c:pt>
                <c:pt idx="8">
                  <c:v>45.721499464545452</c:v>
                </c:pt>
                <c:pt idx="9">
                  <c:v>47.42748353272728</c:v>
                </c:pt>
                <c:pt idx="10">
                  <c:v>48.889800197977422</c:v>
                </c:pt>
                <c:pt idx="11">
                  <c:v>50.253531247208606</c:v>
                </c:pt>
                <c:pt idx="12">
                  <c:v>51.45958783669586</c:v>
                </c:pt>
                <c:pt idx="13">
                  <c:v>52.536031729567576</c:v>
                </c:pt>
                <c:pt idx="14">
                  <c:v>53.617743074084537</c:v>
                </c:pt>
                <c:pt idx="15">
                  <c:v>54.709665438519714</c:v>
                </c:pt>
                <c:pt idx="16">
                  <c:v>55.863565358253062</c:v>
                </c:pt>
                <c:pt idx="17">
                  <c:v>55.8441611644622</c:v>
                </c:pt>
                <c:pt idx="18">
                  <c:v>55.787597969039247</c:v>
                </c:pt>
                <c:pt idx="19">
                  <c:v>55.743628671667238</c:v>
                </c:pt>
                <c:pt idx="20">
                  <c:v>55.67038893229541</c:v>
                </c:pt>
                <c:pt idx="21">
                  <c:v>55.597585630323387</c:v>
                </c:pt>
                <c:pt idx="22">
                  <c:v>55.509476750779172</c:v>
                </c:pt>
                <c:pt idx="23">
                  <c:v>55.405105765866743</c:v>
                </c:pt>
                <c:pt idx="24">
                  <c:v>55.288860457314826</c:v>
                </c:pt>
                <c:pt idx="25">
                  <c:v>55.151252433940748</c:v>
                </c:pt>
                <c:pt idx="26">
                  <c:v>55.247296193718157</c:v>
                </c:pt>
                <c:pt idx="27">
                  <c:v>55.324015847545603</c:v>
                </c:pt>
                <c:pt idx="28">
                  <c:v>55.390001954138661</c:v>
                </c:pt>
                <c:pt idx="29">
                  <c:v>55.441122669170269</c:v>
                </c:pt>
                <c:pt idx="30">
                  <c:v>55.472659121878081</c:v>
                </c:pt>
                <c:pt idx="31">
                  <c:v>55.443176911891698</c:v>
                </c:pt>
                <c:pt idx="32">
                  <c:v>55.408749189814721</c:v>
                </c:pt>
                <c:pt idx="33">
                  <c:v>55.372786446069533</c:v>
                </c:pt>
                <c:pt idx="34">
                  <c:v>55.442505870293168</c:v>
                </c:pt>
                <c:pt idx="35">
                  <c:v>55.51321939547546</c:v>
                </c:pt>
                <c:pt idx="36">
                  <c:v>55.583839040527046</c:v>
                </c:pt>
                <c:pt idx="37">
                  <c:v>55.653539362733468</c:v>
                </c:pt>
                <c:pt idx="38">
                  <c:v>55.715641144680937</c:v>
                </c:pt>
                <c:pt idx="39">
                  <c:v>55.77175775935536</c:v>
                </c:pt>
                <c:pt idx="40">
                  <c:v>55.827479415923094</c:v>
                </c:pt>
                <c:pt idx="41">
                  <c:v>55.879886546579499</c:v>
                </c:pt>
                <c:pt idx="42">
                  <c:v>55.930264339411785</c:v>
                </c:pt>
                <c:pt idx="43">
                  <c:v>55.980620518313962</c:v>
                </c:pt>
                <c:pt idx="44">
                  <c:v>56.03074954787423</c:v>
                </c:pt>
                <c:pt idx="45">
                  <c:v>56.082638735132335</c:v>
                </c:pt>
                <c:pt idx="46">
                  <c:v>56.13659345778175</c:v>
                </c:pt>
                <c:pt idx="47">
                  <c:v>56.192064244596658</c:v>
                </c:pt>
                <c:pt idx="48">
                  <c:v>56.247132051954509</c:v>
                </c:pt>
                <c:pt idx="49">
                  <c:v>56.304592095857863</c:v>
                </c:pt>
                <c:pt idx="50">
                  <c:v>56.36360814028248</c:v>
                </c:pt>
                <c:pt idx="51">
                  <c:v>56.424632230277425</c:v>
                </c:pt>
                <c:pt idx="52">
                  <c:v>56.489858776592435</c:v>
                </c:pt>
                <c:pt idx="53">
                  <c:v>56.55880865620589</c:v>
                </c:pt>
                <c:pt idx="54">
                  <c:v>56.631680430225074</c:v>
                </c:pt>
                <c:pt idx="55">
                  <c:v>56.706816824986689</c:v>
                </c:pt>
                <c:pt idx="56">
                  <c:v>56.784960449688725</c:v>
                </c:pt>
                <c:pt idx="57">
                  <c:v>56.865700243903213</c:v>
                </c:pt>
                <c:pt idx="58">
                  <c:v>56.950169761195866</c:v>
                </c:pt>
                <c:pt idx="59">
                  <c:v>57.039949739754213</c:v>
                </c:pt>
                <c:pt idx="60">
                  <c:v>57.134221174026919</c:v>
                </c:pt>
                <c:pt idx="61">
                  <c:v>57.234655108072275</c:v>
                </c:pt>
                <c:pt idx="62">
                  <c:v>57.340166996487035</c:v>
                </c:pt>
                <c:pt idx="63">
                  <c:v>57.450725477659375</c:v>
                </c:pt>
                <c:pt idx="64">
                  <c:v>57.563499869040221</c:v>
                </c:pt>
                <c:pt idx="65">
                  <c:v>57.6794360107301</c:v>
                </c:pt>
                <c:pt idx="66">
                  <c:v>57.798180239794931</c:v>
                </c:pt>
                <c:pt idx="67">
                  <c:v>57.920458919991937</c:v>
                </c:pt>
                <c:pt idx="68">
                  <c:v>58.043335645110623</c:v>
                </c:pt>
                <c:pt idx="69">
                  <c:v>58.168127473296948</c:v>
                </c:pt>
                <c:pt idx="70">
                  <c:v>58.294679144406494</c:v>
                </c:pt>
                <c:pt idx="71">
                  <c:v>58.423616762085395</c:v>
                </c:pt>
                <c:pt idx="72">
                  <c:v>58.55331784357184</c:v>
                </c:pt>
                <c:pt idx="73">
                  <c:v>58.683988240954207</c:v>
                </c:pt>
                <c:pt idx="74">
                  <c:v>58.813363403547946</c:v>
                </c:pt>
                <c:pt idx="75">
                  <c:v>58.943239455509179</c:v>
                </c:pt>
                <c:pt idx="76">
                  <c:v>59.071999726930002</c:v>
                </c:pt>
                <c:pt idx="77">
                  <c:v>59.199543402217294</c:v>
                </c:pt>
                <c:pt idx="78">
                  <c:v>59.324708200895117</c:v>
                </c:pt>
                <c:pt idx="79">
                  <c:v>59.448118466980986</c:v>
                </c:pt>
                <c:pt idx="80">
                  <c:v>59.569023274000017</c:v>
                </c:pt>
              </c:numCache>
            </c:numRef>
          </c:val>
          <c:extLst>
            <c:ext xmlns:c16="http://schemas.microsoft.com/office/drawing/2014/chart" uri="{C3380CC4-5D6E-409C-BE32-E72D297353CC}">
              <c16:uniqueId val="{00000000-0D88-4FFA-AF5E-7D45C8F45391}"/>
            </c:ext>
          </c:extLst>
        </c:ser>
        <c:ser>
          <c:idx val="0"/>
          <c:order val="1"/>
          <c:tx>
            <c:v>Unmeasured household consumption</c:v>
          </c:tx>
          <c:spPr>
            <a:ln w="25400">
              <a:noFill/>
            </a:ln>
          </c:spPr>
          <c:cat>
            <c:strRef>
              <c:f>CAMCAM!$G$204:$CI$204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CAMCAM!$G$396:$CI$396</c:f>
              <c:numCache>
                <c:formatCode>0.00</c:formatCode>
                <c:ptCount val="81"/>
                <c:pt idx="0">
                  <c:v>21.35</c:v>
                </c:pt>
                <c:pt idx="1">
                  <c:v>20.94</c:v>
                </c:pt>
                <c:pt idx="2">
                  <c:v>21.031296999999999</c:v>
                </c:pt>
                <c:pt idx="3">
                  <c:v>19.817300630000002</c:v>
                </c:pt>
                <c:pt idx="4">
                  <c:v>18.61731112</c:v>
                </c:pt>
                <c:pt idx="5">
                  <c:v>17.471758010000002</c:v>
                </c:pt>
                <c:pt idx="6">
                  <c:v>16.348394511818178</c:v>
                </c:pt>
                <c:pt idx="7">
                  <c:v>15.224779543636364</c:v>
                </c:pt>
                <c:pt idx="8">
                  <c:v>14.102598075454537</c:v>
                </c:pt>
                <c:pt idx="9">
                  <c:v>12.98145651727272</c:v>
                </c:pt>
                <c:pt idx="10">
                  <c:v>11.860700299090899</c:v>
                </c:pt>
                <c:pt idx="11">
                  <c:v>10.744332920909079</c:v>
                </c:pt>
                <c:pt idx="12">
                  <c:v>9.6277312427272594</c:v>
                </c:pt>
                <c:pt idx="13">
                  <c:v>8.51155720454544</c:v>
                </c:pt>
                <c:pt idx="14">
                  <c:v>7.3966230363636205</c:v>
                </c:pt>
                <c:pt idx="15">
                  <c:v>6.2830771481818015</c:v>
                </c:pt>
                <c:pt idx="16">
                  <c:v>5.1019411399999779</c:v>
                </c:pt>
                <c:pt idx="17">
                  <c:v>5.0464730699999798</c:v>
                </c:pt>
                <c:pt idx="18">
                  <c:v>4.9926450299999789</c:v>
                </c:pt>
                <c:pt idx="19">
                  <c:v>4.9407852099999783</c:v>
                </c:pt>
                <c:pt idx="20">
                  <c:v>4.8897684899999785</c:v>
                </c:pt>
                <c:pt idx="21">
                  <c:v>4.8401445769999789</c:v>
                </c:pt>
                <c:pt idx="22">
                  <c:v>4.792035997999978</c:v>
                </c:pt>
                <c:pt idx="23">
                  <c:v>4.7453456499999795</c:v>
                </c:pt>
                <c:pt idx="24">
                  <c:v>4.7000847649999802</c:v>
                </c:pt>
                <c:pt idx="25">
                  <c:v>4.6560264949999794</c:v>
                </c:pt>
                <c:pt idx="26">
                  <c:v>4.6129961419999788</c:v>
                </c:pt>
                <c:pt idx="27">
                  <c:v>4.5710925789999788</c:v>
                </c:pt>
                <c:pt idx="28">
                  <c:v>4.5304035189999787</c:v>
                </c:pt>
                <c:pt idx="29">
                  <c:v>4.49082081799998</c:v>
                </c:pt>
                <c:pt idx="30">
                  <c:v>4.4522223629999793</c:v>
                </c:pt>
                <c:pt idx="31">
                  <c:v>4.4169026799999784</c:v>
                </c:pt>
                <c:pt idx="32">
                  <c:v>4.382521371999978</c:v>
                </c:pt>
                <c:pt idx="33">
                  <c:v>4.3489830309999782</c:v>
                </c:pt>
                <c:pt idx="34">
                  <c:v>4.3162598949999786</c:v>
                </c:pt>
                <c:pt idx="35">
                  <c:v>4.2842932339999784</c:v>
                </c:pt>
                <c:pt idx="36">
                  <c:v>4.2530089959999797</c:v>
                </c:pt>
                <c:pt idx="37">
                  <c:v>4.2225259789999789</c:v>
                </c:pt>
                <c:pt idx="38">
                  <c:v>4.1928949679999796</c:v>
                </c:pt>
                <c:pt idx="39">
                  <c:v>4.1640331649999798</c:v>
                </c:pt>
                <c:pt idx="40">
                  <c:v>4.1358528809999804</c:v>
                </c:pt>
                <c:pt idx="41">
                  <c:v>4.1083555809999801</c:v>
                </c:pt>
                <c:pt idx="42">
                  <c:v>4.0815505499999807</c:v>
                </c:pt>
                <c:pt idx="43">
                  <c:v>4.0553939569999802</c:v>
                </c:pt>
                <c:pt idx="44">
                  <c:v>4.0298347609999796</c:v>
                </c:pt>
                <c:pt idx="45">
                  <c:v>4.0048653239999794</c:v>
                </c:pt>
                <c:pt idx="46">
                  <c:v>3.9804806189999793</c:v>
                </c:pt>
                <c:pt idx="47">
                  <c:v>3.9567218229999792</c:v>
                </c:pt>
                <c:pt idx="48">
                  <c:v>3.9335756479999793</c:v>
                </c:pt>
                <c:pt idx="49">
                  <c:v>3.9109991849999792</c:v>
                </c:pt>
                <c:pt idx="50">
                  <c:v>3.888975965999979</c:v>
                </c:pt>
                <c:pt idx="51">
                  <c:v>3.8674902089999792</c:v>
                </c:pt>
                <c:pt idx="52">
                  <c:v>3.8465415219999795</c:v>
                </c:pt>
                <c:pt idx="53">
                  <c:v>3.8261045759999801</c:v>
                </c:pt>
                <c:pt idx="54">
                  <c:v>3.8061844259999793</c:v>
                </c:pt>
                <c:pt idx="55">
                  <c:v>3.7867790109999788</c:v>
                </c:pt>
                <c:pt idx="56">
                  <c:v>3.7678479559999793</c:v>
                </c:pt>
                <c:pt idx="57">
                  <c:v>3.7494136219999792</c:v>
                </c:pt>
                <c:pt idx="58">
                  <c:v>3.7314490889999794</c:v>
                </c:pt>
                <c:pt idx="59">
                  <c:v>3.7139135779999792</c:v>
                </c:pt>
                <c:pt idx="60">
                  <c:v>3.6968060289999789</c:v>
                </c:pt>
                <c:pt idx="61">
                  <c:v>3.6800819129999791</c:v>
                </c:pt>
                <c:pt idx="62">
                  <c:v>3.6637476619999791</c:v>
                </c:pt>
                <c:pt idx="63">
                  <c:v>3.6477965969999788</c:v>
                </c:pt>
                <c:pt idx="64">
                  <c:v>3.632237165999979</c:v>
                </c:pt>
                <c:pt idx="65">
                  <c:v>3.6170496909999788</c:v>
                </c:pt>
                <c:pt idx="66">
                  <c:v>3.6022155539999794</c:v>
                </c:pt>
                <c:pt idx="67">
                  <c:v>3.5877295219999787</c:v>
                </c:pt>
                <c:pt idx="68">
                  <c:v>3.5735917029999795</c:v>
                </c:pt>
                <c:pt idx="69">
                  <c:v>3.559783020999979</c:v>
                </c:pt>
                <c:pt idx="70">
                  <c:v>3.5462906419999793</c:v>
                </c:pt>
                <c:pt idx="71">
                  <c:v>3.5330931979999791</c:v>
                </c:pt>
                <c:pt idx="72">
                  <c:v>3.5202064639999788</c:v>
                </c:pt>
                <c:pt idx="73">
                  <c:v>3.5076242709999788</c:v>
                </c:pt>
                <c:pt idx="74">
                  <c:v>3.4953596899999795</c:v>
                </c:pt>
                <c:pt idx="75">
                  <c:v>3.4833813489999796</c:v>
                </c:pt>
                <c:pt idx="76">
                  <c:v>3.471684081999979</c:v>
                </c:pt>
                <c:pt idx="77">
                  <c:v>3.4602675439999784</c:v>
                </c:pt>
                <c:pt idx="78">
                  <c:v>3.4491438429999786</c:v>
                </c:pt>
                <c:pt idx="79">
                  <c:v>3.4382996059999789</c:v>
                </c:pt>
                <c:pt idx="80">
                  <c:v>3.4277216689999799</c:v>
                </c:pt>
              </c:numCache>
            </c:numRef>
          </c:val>
          <c:extLst>
            <c:ext xmlns:c16="http://schemas.microsoft.com/office/drawing/2014/chart" uri="{C3380CC4-5D6E-409C-BE32-E72D297353CC}">
              <c16:uniqueId val="{00000001-0D88-4FFA-AF5E-7D45C8F45391}"/>
            </c:ext>
          </c:extLst>
        </c:ser>
        <c:ser>
          <c:idx val="1"/>
          <c:order val="2"/>
          <c:tx>
            <c:v>Non-household consumption</c:v>
          </c:tx>
          <c:spPr>
            <a:ln w="25400">
              <a:noFill/>
            </a:ln>
          </c:spPr>
          <c:cat>
            <c:strRef>
              <c:f>CAMCAM!$G$204:$CI$204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CAMCAM!$G$397:$CI$397</c:f>
              <c:numCache>
                <c:formatCode>0.00</c:formatCode>
                <c:ptCount val="81"/>
                <c:pt idx="0">
                  <c:v>22.470000000000002</c:v>
                </c:pt>
                <c:pt idx="1">
                  <c:v>23.903559690000005</c:v>
                </c:pt>
                <c:pt idx="2">
                  <c:v>24.547230610000003</c:v>
                </c:pt>
                <c:pt idx="3">
                  <c:v>25.587165660000004</c:v>
                </c:pt>
                <c:pt idx="4">
                  <c:v>26.848108380000003</c:v>
                </c:pt>
                <c:pt idx="5">
                  <c:v>27.821185670000002</c:v>
                </c:pt>
                <c:pt idx="6">
                  <c:v>27.999952140000001</c:v>
                </c:pt>
                <c:pt idx="7">
                  <c:v>28.197201370000002</c:v>
                </c:pt>
                <c:pt idx="8">
                  <c:v>28.390065119999999</c:v>
                </c:pt>
                <c:pt idx="9">
                  <c:v>28.528994180000002</c:v>
                </c:pt>
                <c:pt idx="10">
                  <c:v>28.622555440000003</c:v>
                </c:pt>
                <c:pt idx="11">
                  <c:v>28.851617170000001</c:v>
                </c:pt>
                <c:pt idx="12">
                  <c:v>29.029802210000003</c:v>
                </c:pt>
                <c:pt idx="13">
                  <c:v>29.175029350000003</c:v>
                </c:pt>
                <c:pt idx="14">
                  <c:v>29.367928450000004</c:v>
                </c:pt>
                <c:pt idx="15">
                  <c:v>29.493209850000007</c:v>
                </c:pt>
                <c:pt idx="16">
                  <c:v>29.977829460000002</c:v>
                </c:pt>
                <c:pt idx="17">
                  <c:v>30.470517380000004</c:v>
                </c:pt>
                <c:pt idx="18">
                  <c:v>30.939892590000007</c:v>
                </c:pt>
                <c:pt idx="19">
                  <c:v>31.372552450000008</c:v>
                </c:pt>
                <c:pt idx="20">
                  <c:v>31.449511984000001</c:v>
                </c:pt>
                <c:pt idx="21">
                  <c:v>31.526471519000005</c:v>
                </c:pt>
                <c:pt idx="22">
                  <c:v>31.603431053000005</c:v>
                </c:pt>
                <c:pt idx="23">
                  <c:v>31.680390588000002</c:v>
                </c:pt>
                <c:pt idx="24">
                  <c:v>31.757350122000002</c:v>
                </c:pt>
                <c:pt idx="25">
                  <c:v>31.834309657000002</c:v>
                </c:pt>
                <c:pt idx="26">
                  <c:v>31.911269190999999</c:v>
                </c:pt>
                <c:pt idx="27">
                  <c:v>31.988228725999999</c:v>
                </c:pt>
                <c:pt idx="28">
                  <c:v>32.065188259999999</c:v>
                </c:pt>
                <c:pt idx="29">
                  <c:v>32.142147794999993</c:v>
                </c:pt>
                <c:pt idx="30">
                  <c:v>32.219107328999996</c:v>
                </c:pt>
                <c:pt idx="31">
                  <c:v>32.296066863999997</c:v>
                </c:pt>
                <c:pt idx="32">
                  <c:v>32.373026398</c:v>
                </c:pt>
                <c:pt idx="33">
                  <c:v>32.449985932999994</c:v>
                </c:pt>
                <c:pt idx="34">
                  <c:v>32.526945466999997</c:v>
                </c:pt>
                <c:pt idx="35">
                  <c:v>32.603905001000001</c:v>
                </c:pt>
                <c:pt idx="36">
                  <c:v>32.680864535999994</c:v>
                </c:pt>
                <c:pt idx="37">
                  <c:v>32.757824069999998</c:v>
                </c:pt>
                <c:pt idx="38">
                  <c:v>32.834783604999998</c:v>
                </c:pt>
                <c:pt idx="39">
                  <c:v>32.911743138999995</c:v>
                </c:pt>
                <c:pt idx="40">
                  <c:v>32.988702683999996</c:v>
                </c:pt>
                <c:pt idx="41">
                  <c:v>33.065662218</c:v>
                </c:pt>
                <c:pt idx="42">
                  <c:v>33.142621752999993</c:v>
                </c:pt>
                <c:pt idx="43">
                  <c:v>33.219581286999997</c:v>
                </c:pt>
                <c:pt idx="44">
                  <c:v>33.296540821999997</c:v>
                </c:pt>
                <c:pt idx="45">
                  <c:v>33.373500355999994</c:v>
                </c:pt>
                <c:pt idx="46">
                  <c:v>33.450459890999994</c:v>
                </c:pt>
                <c:pt idx="47">
                  <c:v>33.527419424999998</c:v>
                </c:pt>
                <c:pt idx="48">
                  <c:v>33.604378959000002</c:v>
                </c:pt>
                <c:pt idx="49">
                  <c:v>33.681338493999995</c:v>
                </c:pt>
                <c:pt idx="50">
                  <c:v>33.758298027999999</c:v>
                </c:pt>
                <c:pt idx="51">
                  <c:v>33.835257562999999</c:v>
                </c:pt>
                <c:pt idx="52">
                  <c:v>33.912217096999996</c:v>
                </c:pt>
                <c:pt idx="53">
                  <c:v>33.989176631999996</c:v>
                </c:pt>
                <c:pt idx="54">
                  <c:v>34.066136166</c:v>
                </c:pt>
                <c:pt idx="55">
                  <c:v>34.143095700999993</c:v>
                </c:pt>
                <c:pt idx="56">
                  <c:v>34.220055234999997</c:v>
                </c:pt>
                <c:pt idx="57">
                  <c:v>34.297014769999997</c:v>
                </c:pt>
                <c:pt idx="58">
                  <c:v>34.373974304000001</c:v>
                </c:pt>
                <c:pt idx="59">
                  <c:v>34.450933838999994</c:v>
                </c:pt>
                <c:pt idx="60">
                  <c:v>34.527893372999998</c:v>
                </c:pt>
                <c:pt idx="61">
                  <c:v>34.604852907999998</c:v>
                </c:pt>
                <c:pt idx="62">
                  <c:v>34.681812441999995</c:v>
                </c:pt>
                <c:pt idx="63">
                  <c:v>34.758771975999998</c:v>
                </c:pt>
                <c:pt idx="64">
                  <c:v>34.835731510999999</c:v>
                </c:pt>
                <c:pt idx="65">
                  <c:v>34.912691044999995</c:v>
                </c:pt>
                <c:pt idx="66">
                  <c:v>34.989650579999996</c:v>
                </c:pt>
                <c:pt idx="67">
                  <c:v>35.066610113999999</c:v>
                </c:pt>
                <c:pt idx="68">
                  <c:v>35.143569649</c:v>
                </c:pt>
                <c:pt idx="69">
                  <c:v>35.220529182999996</c:v>
                </c:pt>
                <c:pt idx="70">
                  <c:v>35.297488717999997</c:v>
                </c:pt>
                <c:pt idx="71">
                  <c:v>35.374448252000001</c:v>
                </c:pt>
                <c:pt idx="72">
                  <c:v>35.451407786999994</c:v>
                </c:pt>
                <c:pt idx="73">
                  <c:v>35.528367320999998</c:v>
                </c:pt>
                <c:pt idx="74">
                  <c:v>35.605326855999998</c:v>
                </c:pt>
                <c:pt idx="75">
                  <c:v>35.682286389999994</c:v>
                </c:pt>
                <c:pt idx="76">
                  <c:v>35.759245924999995</c:v>
                </c:pt>
                <c:pt idx="77">
                  <c:v>35.836205458999999</c:v>
                </c:pt>
                <c:pt idx="78">
                  <c:v>35.913164992999995</c:v>
                </c:pt>
                <c:pt idx="79">
                  <c:v>35.913164992999995</c:v>
                </c:pt>
                <c:pt idx="80">
                  <c:v>35.913164992999995</c:v>
                </c:pt>
              </c:numCache>
            </c:numRef>
          </c:val>
          <c:extLst>
            <c:ext xmlns:c16="http://schemas.microsoft.com/office/drawing/2014/chart" uri="{C3380CC4-5D6E-409C-BE32-E72D297353CC}">
              <c16:uniqueId val="{00000002-0D88-4FFA-AF5E-7D45C8F45391}"/>
            </c:ext>
          </c:extLst>
        </c:ser>
        <c:ser>
          <c:idx val="2"/>
          <c:order val="3"/>
          <c:tx>
            <c:v>Total leakage</c:v>
          </c:tx>
          <c:spPr>
            <a:ln w="25400">
              <a:noFill/>
            </a:ln>
          </c:spPr>
          <c:cat>
            <c:strRef>
              <c:f>CAMCAM!$G$204:$CI$204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CAMCAM!$G$398:$CI$398</c:f>
              <c:numCache>
                <c:formatCode>0.00</c:formatCode>
                <c:ptCount val="81"/>
                <c:pt idx="0">
                  <c:v>13.5</c:v>
                </c:pt>
                <c:pt idx="1">
                  <c:v>13.5</c:v>
                </c:pt>
                <c:pt idx="2">
                  <c:v>13.510000000000002</c:v>
                </c:pt>
                <c:pt idx="3">
                  <c:v>13.510000000000002</c:v>
                </c:pt>
                <c:pt idx="4">
                  <c:v>13.510000000000002</c:v>
                </c:pt>
                <c:pt idx="5">
                  <c:v>13.2</c:v>
                </c:pt>
                <c:pt idx="6">
                  <c:v>12.719999999999999</c:v>
                </c:pt>
                <c:pt idx="7">
                  <c:v>12.240000000000002</c:v>
                </c:pt>
                <c:pt idx="8">
                  <c:v>11.76</c:v>
                </c:pt>
                <c:pt idx="9">
                  <c:v>11.280000000000001</c:v>
                </c:pt>
                <c:pt idx="10">
                  <c:v>10.8</c:v>
                </c:pt>
                <c:pt idx="11">
                  <c:v>10.458</c:v>
                </c:pt>
                <c:pt idx="12">
                  <c:v>10.116</c:v>
                </c:pt>
                <c:pt idx="13">
                  <c:v>9.7740000000000009</c:v>
                </c:pt>
                <c:pt idx="14">
                  <c:v>9.4320000000000004</c:v>
                </c:pt>
                <c:pt idx="15">
                  <c:v>9.09</c:v>
                </c:pt>
                <c:pt idx="16">
                  <c:v>8.7319999999999993</c:v>
                </c:pt>
                <c:pt idx="17">
                  <c:v>8.3739999999999988</c:v>
                </c:pt>
                <c:pt idx="18">
                  <c:v>8.016</c:v>
                </c:pt>
                <c:pt idx="19">
                  <c:v>7.6580000000000004</c:v>
                </c:pt>
                <c:pt idx="20">
                  <c:v>7.3</c:v>
                </c:pt>
                <c:pt idx="21">
                  <c:v>7.3</c:v>
                </c:pt>
                <c:pt idx="22">
                  <c:v>7.3</c:v>
                </c:pt>
                <c:pt idx="23">
                  <c:v>7.3</c:v>
                </c:pt>
                <c:pt idx="24">
                  <c:v>7.3</c:v>
                </c:pt>
                <c:pt idx="25">
                  <c:v>7.3</c:v>
                </c:pt>
                <c:pt idx="26">
                  <c:v>7.3</c:v>
                </c:pt>
                <c:pt idx="27">
                  <c:v>7.3</c:v>
                </c:pt>
                <c:pt idx="28">
                  <c:v>7.3</c:v>
                </c:pt>
                <c:pt idx="29">
                  <c:v>7.3</c:v>
                </c:pt>
                <c:pt idx="30">
                  <c:v>7.3</c:v>
                </c:pt>
                <c:pt idx="31">
                  <c:v>7.3</c:v>
                </c:pt>
                <c:pt idx="32">
                  <c:v>7.3</c:v>
                </c:pt>
                <c:pt idx="33">
                  <c:v>7.3</c:v>
                </c:pt>
                <c:pt idx="34">
                  <c:v>7.3</c:v>
                </c:pt>
                <c:pt idx="35">
                  <c:v>7.3</c:v>
                </c:pt>
                <c:pt idx="36">
                  <c:v>7.3</c:v>
                </c:pt>
                <c:pt idx="37">
                  <c:v>7.3</c:v>
                </c:pt>
                <c:pt idx="38">
                  <c:v>7.3</c:v>
                </c:pt>
                <c:pt idx="39">
                  <c:v>7.3</c:v>
                </c:pt>
                <c:pt idx="40">
                  <c:v>7.3</c:v>
                </c:pt>
                <c:pt idx="41">
                  <c:v>7.3</c:v>
                </c:pt>
                <c:pt idx="42">
                  <c:v>7.3</c:v>
                </c:pt>
                <c:pt idx="43">
                  <c:v>7.3</c:v>
                </c:pt>
                <c:pt idx="44">
                  <c:v>7.3</c:v>
                </c:pt>
                <c:pt idx="45">
                  <c:v>7.3</c:v>
                </c:pt>
                <c:pt idx="46">
                  <c:v>7.3</c:v>
                </c:pt>
                <c:pt idx="47">
                  <c:v>7.3</c:v>
                </c:pt>
                <c:pt idx="48">
                  <c:v>7.3</c:v>
                </c:pt>
                <c:pt idx="49">
                  <c:v>7.3</c:v>
                </c:pt>
                <c:pt idx="50">
                  <c:v>7.3</c:v>
                </c:pt>
                <c:pt idx="51">
                  <c:v>7.3</c:v>
                </c:pt>
                <c:pt idx="52">
                  <c:v>7.3</c:v>
                </c:pt>
                <c:pt idx="53">
                  <c:v>7.3</c:v>
                </c:pt>
                <c:pt idx="54">
                  <c:v>7.3</c:v>
                </c:pt>
                <c:pt idx="55">
                  <c:v>7.3</c:v>
                </c:pt>
                <c:pt idx="56">
                  <c:v>7.3</c:v>
                </c:pt>
                <c:pt idx="57">
                  <c:v>7.3</c:v>
                </c:pt>
                <c:pt idx="58">
                  <c:v>7.3</c:v>
                </c:pt>
                <c:pt idx="59">
                  <c:v>7.3</c:v>
                </c:pt>
                <c:pt idx="60">
                  <c:v>7.3</c:v>
                </c:pt>
                <c:pt idx="61">
                  <c:v>7.3</c:v>
                </c:pt>
                <c:pt idx="62">
                  <c:v>7.3</c:v>
                </c:pt>
                <c:pt idx="63">
                  <c:v>7.3</c:v>
                </c:pt>
                <c:pt idx="64">
                  <c:v>7.3</c:v>
                </c:pt>
                <c:pt idx="65">
                  <c:v>7.3</c:v>
                </c:pt>
                <c:pt idx="66">
                  <c:v>7.3</c:v>
                </c:pt>
                <c:pt idx="67">
                  <c:v>7.3</c:v>
                </c:pt>
                <c:pt idx="68">
                  <c:v>7.3</c:v>
                </c:pt>
                <c:pt idx="69">
                  <c:v>7.3</c:v>
                </c:pt>
                <c:pt idx="70">
                  <c:v>7.3</c:v>
                </c:pt>
                <c:pt idx="71">
                  <c:v>7.3</c:v>
                </c:pt>
                <c:pt idx="72">
                  <c:v>7.3</c:v>
                </c:pt>
                <c:pt idx="73">
                  <c:v>7.3</c:v>
                </c:pt>
                <c:pt idx="74">
                  <c:v>7.3</c:v>
                </c:pt>
                <c:pt idx="75">
                  <c:v>7.3</c:v>
                </c:pt>
                <c:pt idx="76">
                  <c:v>7.3</c:v>
                </c:pt>
                <c:pt idx="77">
                  <c:v>7.3</c:v>
                </c:pt>
                <c:pt idx="78">
                  <c:v>7.3</c:v>
                </c:pt>
                <c:pt idx="79">
                  <c:v>7.3</c:v>
                </c:pt>
                <c:pt idx="80">
                  <c:v>3.67</c:v>
                </c:pt>
              </c:numCache>
            </c:numRef>
          </c:val>
          <c:extLst>
            <c:ext xmlns:c16="http://schemas.microsoft.com/office/drawing/2014/chart" uri="{C3380CC4-5D6E-409C-BE32-E72D297353CC}">
              <c16:uniqueId val="{00000003-0D88-4FFA-AF5E-7D45C8F45391}"/>
            </c:ext>
          </c:extLst>
        </c:ser>
        <c:ser>
          <c:idx val="3"/>
          <c:order val="4"/>
          <c:tx>
            <c:v>Other components of demand</c:v>
          </c:tx>
          <c:spPr>
            <a:ln w="25400">
              <a:noFill/>
            </a:ln>
          </c:spPr>
          <c:cat>
            <c:strRef>
              <c:f>CAMCAM!$G$204:$CI$204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CAMCAM!$G$399:$CI$399</c:f>
              <c:numCache>
                <c:formatCode>0.00</c:formatCode>
                <c:ptCount val="81"/>
                <c:pt idx="0">
                  <c:v>0.54000000000000625</c:v>
                </c:pt>
                <c:pt idx="1">
                  <c:v>0.53999999999999204</c:v>
                </c:pt>
                <c:pt idx="2">
                  <c:v>0.53999999999999204</c:v>
                </c:pt>
                <c:pt idx="3">
                  <c:v>0.54000000000000625</c:v>
                </c:pt>
                <c:pt idx="4">
                  <c:v>0.53999999999999204</c:v>
                </c:pt>
                <c:pt idx="5">
                  <c:v>0.53999999999999204</c:v>
                </c:pt>
                <c:pt idx="6">
                  <c:v>0.53999999999999204</c:v>
                </c:pt>
                <c:pt idx="7">
                  <c:v>0.54000000000000625</c:v>
                </c:pt>
                <c:pt idx="8">
                  <c:v>0.54000000000000625</c:v>
                </c:pt>
                <c:pt idx="9">
                  <c:v>0.54000000000002046</c:v>
                </c:pt>
                <c:pt idx="10">
                  <c:v>0.54000000000000625</c:v>
                </c:pt>
                <c:pt idx="11">
                  <c:v>0.54000000000000625</c:v>
                </c:pt>
                <c:pt idx="12">
                  <c:v>0.54000000000000625</c:v>
                </c:pt>
                <c:pt idx="13">
                  <c:v>0.54000000000000625</c:v>
                </c:pt>
                <c:pt idx="14">
                  <c:v>0.54000000000000625</c:v>
                </c:pt>
                <c:pt idx="15">
                  <c:v>0.54000000000000625</c:v>
                </c:pt>
                <c:pt idx="16">
                  <c:v>0.54000000000000625</c:v>
                </c:pt>
                <c:pt idx="17">
                  <c:v>0.54000000000000625</c:v>
                </c:pt>
                <c:pt idx="18">
                  <c:v>0.54000000000000625</c:v>
                </c:pt>
                <c:pt idx="19">
                  <c:v>0.54000000000000625</c:v>
                </c:pt>
                <c:pt idx="20">
                  <c:v>0.54000000000002046</c:v>
                </c:pt>
                <c:pt idx="21">
                  <c:v>0.54000000000000625</c:v>
                </c:pt>
                <c:pt idx="22">
                  <c:v>0.54000000000002046</c:v>
                </c:pt>
                <c:pt idx="23">
                  <c:v>0.54000000000000625</c:v>
                </c:pt>
                <c:pt idx="24">
                  <c:v>0.54000000000003467</c:v>
                </c:pt>
                <c:pt idx="25">
                  <c:v>0.54000000000003467</c:v>
                </c:pt>
                <c:pt idx="26">
                  <c:v>0.54000000000002046</c:v>
                </c:pt>
                <c:pt idx="27">
                  <c:v>0.54000000000002046</c:v>
                </c:pt>
                <c:pt idx="28">
                  <c:v>0.54000000000002046</c:v>
                </c:pt>
                <c:pt idx="29">
                  <c:v>0.54000000000002046</c:v>
                </c:pt>
                <c:pt idx="30">
                  <c:v>0.54000000000003467</c:v>
                </c:pt>
                <c:pt idx="31">
                  <c:v>0.54000000000002046</c:v>
                </c:pt>
                <c:pt idx="32">
                  <c:v>0.54000000000003467</c:v>
                </c:pt>
                <c:pt idx="33">
                  <c:v>0.54000000000002046</c:v>
                </c:pt>
                <c:pt idx="34">
                  <c:v>0.54000000000000625</c:v>
                </c:pt>
                <c:pt idx="35">
                  <c:v>0.54000000000003467</c:v>
                </c:pt>
                <c:pt idx="36">
                  <c:v>0.54000000000003467</c:v>
                </c:pt>
                <c:pt idx="37">
                  <c:v>0.54000000000002046</c:v>
                </c:pt>
                <c:pt idx="38">
                  <c:v>0.54000000000002046</c:v>
                </c:pt>
                <c:pt idx="39">
                  <c:v>0.54000000000002046</c:v>
                </c:pt>
                <c:pt idx="40">
                  <c:v>0.54000000000003467</c:v>
                </c:pt>
                <c:pt idx="41">
                  <c:v>0.54000000000002046</c:v>
                </c:pt>
                <c:pt idx="42">
                  <c:v>0.54000000000003467</c:v>
                </c:pt>
                <c:pt idx="43">
                  <c:v>0.54000000000003467</c:v>
                </c:pt>
                <c:pt idx="44">
                  <c:v>0.54000000000002046</c:v>
                </c:pt>
                <c:pt idx="45">
                  <c:v>0.54000000000002046</c:v>
                </c:pt>
                <c:pt idx="46">
                  <c:v>0.54000000000003467</c:v>
                </c:pt>
                <c:pt idx="47">
                  <c:v>0.54000000000002046</c:v>
                </c:pt>
                <c:pt idx="48">
                  <c:v>0.54000000000000625</c:v>
                </c:pt>
                <c:pt idx="49">
                  <c:v>0.54000000000002046</c:v>
                </c:pt>
                <c:pt idx="50">
                  <c:v>0.54000000000002046</c:v>
                </c:pt>
                <c:pt idx="51">
                  <c:v>0.54000000000002046</c:v>
                </c:pt>
                <c:pt idx="52">
                  <c:v>0.54000000000000625</c:v>
                </c:pt>
                <c:pt idx="53">
                  <c:v>0.54000000000000625</c:v>
                </c:pt>
                <c:pt idx="54">
                  <c:v>0.54000000000003467</c:v>
                </c:pt>
                <c:pt idx="55">
                  <c:v>0.54000000000002046</c:v>
                </c:pt>
                <c:pt idx="56">
                  <c:v>0.54000000000000625</c:v>
                </c:pt>
                <c:pt idx="57">
                  <c:v>0.54000000000002046</c:v>
                </c:pt>
                <c:pt idx="58">
                  <c:v>0.54000000000002046</c:v>
                </c:pt>
                <c:pt idx="59">
                  <c:v>0.54000000000003467</c:v>
                </c:pt>
                <c:pt idx="60">
                  <c:v>0.54000000000003467</c:v>
                </c:pt>
                <c:pt idx="61">
                  <c:v>0.54000000000003467</c:v>
                </c:pt>
                <c:pt idx="62">
                  <c:v>0.54000000000002046</c:v>
                </c:pt>
                <c:pt idx="63">
                  <c:v>0.54000000000000625</c:v>
                </c:pt>
                <c:pt idx="64">
                  <c:v>0.54000000000002046</c:v>
                </c:pt>
                <c:pt idx="65">
                  <c:v>0.54000000000003467</c:v>
                </c:pt>
                <c:pt idx="66">
                  <c:v>0.54000000000000625</c:v>
                </c:pt>
                <c:pt idx="67">
                  <c:v>0.54000000000000625</c:v>
                </c:pt>
                <c:pt idx="68">
                  <c:v>0.54000000000000625</c:v>
                </c:pt>
                <c:pt idx="69">
                  <c:v>0.54000000000002046</c:v>
                </c:pt>
                <c:pt idx="70">
                  <c:v>0.54000000000002046</c:v>
                </c:pt>
                <c:pt idx="71">
                  <c:v>0.54000000000002046</c:v>
                </c:pt>
                <c:pt idx="72">
                  <c:v>0.54000000000002046</c:v>
                </c:pt>
                <c:pt idx="73">
                  <c:v>0.54000000000003467</c:v>
                </c:pt>
                <c:pt idx="74">
                  <c:v>0.54000000000003467</c:v>
                </c:pt>
                <c:pt idx="75">
                  <c:v>0.54000000000002046</c:v>
                </c:pt>
                <c:pt idx="76">
                  <c:v>0.54000000000002046</c:v>
                </c:pt>
                <c:pt idx="77">
                  <c:v>0.54000000000003467</c:v>
                </c:pt>
                <c:pt idx="78">
                  <c:v>0.54000000000000625</c:v>
                </c:pt>
                <c:pt idx="79">
                  <c:v>0.54000000000003467</c:v>
                </c:pt>
                <c:pt idx="80">
                  <c:v>5.71</c:v>
                </c:pt>
              </c:numCache>
            </c:numRef>
          </c:val>
          <c:extLst>
            <c:ext xmlns:c16="http://schemas.microsoft.com/office/drawing/2014/chart" uri="{C3380CC4-5D6E-409C-BE32-E72D297353CC}">
              <c16:uniqueId val="{00000004-0D88-4FFA-AF5E-7D45C8F45391}"/>
            </c:ext>
          </c:extLst>
        </c:ser>
        <c:dLbls>
          <c:showLegendKey val="0"/>
          <c:showVal val="0"/>
          <c:showCatName val="0"/>
          <c:showSerName val="0"/>
          <c:showPercent val="0"/>
          <c:showBubbleSize val="0"/>
        </c:dLbls>
        <c:axId val="-1198609920"/>
        <c:axId val="-1198616448"/>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CAMCAM!$G$400:$CI$400</c:f>
              <c:numCache>
                <c:formatCode>0.00</c:formatCode>
                <c:ptCount val="81"/>
                <c:pt idx="0">
                  <c:v>145.38</c:v>
                </c:pt>
                <c:pt idx="1">
                  <c:v>145.38</c:v>
                </c:pt>
                <c:pt idx="2">
                  <c:v>145.38</c:v>
                </c:pt>
                <c:pt idx="3">
                  <c:v>145.38</c:v>
                </c:pt>
                <c:pt idx="4">
                  <c:v>145.38</c:v>
                </c:pt>
                <c:pt idx="5">
                  <c:v>145.38</c:v>
                </c:pt>
                <c:pt idx="6">
                  <c:v>132.82784733812949</c:v>
                </c:pt>
                <c:pt idx="7">
                  <c:v>132.67994733812949</c:v>
                </c:pt>
                <c:pt idx="8">
                  <c:v>132.17204733812949</c:v>
                </c:pt>
                <c:pt idx="9">
                  <c:v>132.0241473381295</c:v>
                </c:pt>
                <c:pt idx="10">
                  <c:v>131.87624733812947</c:v>
                </c:pt>
                <c:pt idx="11">
                  <c:v>125.23834733812949</c:v>
                </c:pt>
                <c:pt idx="12">
                  <c:v>138.5704473381295</c:v>
                </c:pt>
                <c:pt idx="13">
                  <c:v>139.4225473381295</c:v>
                </c:pt>
                <c:pt idx="14">
                  <c:v>139.27464733812951</c:v>
                </c:pt>
                <c:pt idx="15">
                  <c:v>139.12674733812952</c:v>
                </c:pt>
                <c:pt idx="16">
                  <c:v>138.9788473381295</c:v>
                </c:pt>
                <c:pt idx="17">
                  <c:v>156.8309473381295</c:v>
                </c:pt>
                <c:pt idx="18">
                  <c:v>156.68304733812951</c:v>
                </c:pt>
                <c:pt idx="19">
                  <c:v>156.53514733812952</c:v>
                </c:pt>
                <c:pt idx="20">
                  <c:v>156.3872473381295</c:v>
                </c:pt>
                <c:pt idx="21">
                  <c:v>131.35</c:v>
                </c:pt>
                <c:pt idx="22">
                  <c:v>131.35</c:v>
                </c:pt>
                <c:pt idx="23">
                  <c:v>131.35</c:v>
                </c:pt>
                <c:pt idx="24">
                  <c:v>131.35</c:v>
                </c:pt>
                <c:pt idx="25">
                  <c:v>131.35</c:v>
                </c:pt>
                <c:pt idx="26">
                  <c:v>131.35</c:v>
                </c:pt>
                <c:pt idx="27">
                  <c:v>131.35</c:v>
                </c:pt>
                <c:pt idx="28">
                  <c:v>131.35</c:v>
                </c:pt>
                <c:pt idx="29">
                  <c:v>131.35</c:v>
                </c:pt>
                <c:pt idx="30">
                  <c:v>131.35</c:v>
                </c:pt>
                <c:pt idx="31">
                  <c:v>131.35</c:v>
                </c:pt>
                <c:pt idx="32">
                  <c:v>131.35</c:v>
                </c:pt>
                <c:pt idx="33">
                  <c:v>131.35</c:v>
                </c:pt>
                <c:pt idx="34">
                  <c:v>131.35</c:v>
                </c:pt>
                <c:pt idx="35">
                  <c:v>131.35</c:v>
                </c:pt>
                <c:pt idx="36">
                  <c:v>131.35</c:v>
                </c:pt>
                <c:pt idx="37">
                  <c:v>131.35</c:v>
                </c:pt>
                <c:pt idx="38">
                  <c:v>131.35</c:v>
                </c:pt>
                <c:pt idx="39">
                  <c:v>131.35</c:v>
                </c:pt>
                <c:pt idx="40">
                  <c:v>131.35</c:v>
                </c:pt>
                <c:pt idx="41">
                  <c:v>131.35</c:v>
                </c:pt>
                <c:pt idx="42">
                  <c:v>131.35</c:v>
                </c:pt>
                <c:pt idx="43">
                  <c:v>131.35</c:v>
                </c:pt>
                <c:pt idx="44">
                  <c:v>131.35</c:v>
                </c:pt>
                <c:pt idx="45">
                  <c:v>131.35</c:v>
                </c:pt>
                <c:pt idx="46">
                  <c:v>131.35</c:v>
                </c:pt>
                <c:pt idx="47">
                  <c:v>131.35</c:v>
                </c:pt>
                <c:pt idx="48">
                  <c:v>131.35</c:v>
                </c:pt>
                <c:pt idx="49">
                  <c:v>131.35</c:v>
                </c:pt>
                <c:pt idx="50">
                  <c:v>131.35</c:v>
                </c:pt>
                <c:pt idx="51">
                  <c:v>131.35</c:v>
                </c:pt>
                <c:pt idx="52">
                  <c:v>131.35</c:v>
                </c:pt>
                <c:pt idx="53">
                  <c:v>131.35</c:v>
                </c:pt>
                <c:pt idx="54">
                  <c:v>131.35</c:v>
                </c:pt>
                <c:pt idx="55">
                  <c:v>131.35</c:v>
                </c:pt>
                <c:pt idx="56">
                  <c:v>131.35</c:v>
                </c:pt>
                <c:pt idx="57">
                  <c:v>131.35</c:v>
                </c:pt>
                <c:pt idx="58">
                  <c:v>131.35</c:v>
                </c:pt>
                <c:pt idx="59">
                  <c:v>131.35</c:v>
                </c:pt>
                <c:pt idx="60">
                  <c:v>131.35</c:v>
                </c:pt>
                <c:pt idx="61">
                  <c:v>131.35</c:v>
                </c:pt>
                <c:pt idx="62">
                  <c:v>131.35</c:v>
                </c:pt>
                <c:pt idx="63">
                  <c:v>131.35</c:v>
                </c:pt>
                <c:pt idx="64">
                  <c:v>131.35</c:v>
                </c:pt>
                <c:pt idx="65">
                  <c:v>131.35</c:v>
                </c:pt>
                <c:pt idx="66">
                  <c:v>131.35</c:v>
                </c:pt>
                <c:pt idx="67">
                  <c:v>131.35</c:v>
                </c:pt>
                <c:pt idx="68">
                  <c:v>131.35</c:v>
                </c:pt>
                <c:pt idx="69">
                  <c:v>131.35</c:v>
                </c:pt>
                <c:pt idx="70">
                  <c:v>131.35</c:v>
                </c:pt>
                <c:pt idx="71">
                  <c:v>131.35</c:v>
                </c:pt>
                <c:pt idx="72">
                  <c:v>131.35</c:v>
                </c:pt>
                <c:pt idx="73">
                  <c:v>131.35</c:v>
                </c:pt>
                <c:pt idx="74">
                  <c:v>131.35</c:v>
                </c:pt>
                <c:pt idx="75">
                  <c:v>131.35</c:v>
                </c:pt>
                <c:pt idx="76">
                  <c:v>131.35</c:v>
                </c:pt>
                <c:pt idx="77">
                  <c:v>131.35</c:v>
                </c:pt>
                <c:pt idx="78">
                  <c:v>131.35</c:v>
                </c:pt>
                <c:pt idx="79">
                  <c:v>131.35</c:v>
                </c:pt>
                <c:pt idx="80">
                  <c:v>131.35</c:v>
                </c:pt>
              </c:numCache>
            </c:numRef>
          </c:val>
          <c:smooth val="0"/>
          <c:extLst>
            <c:ext xmlns:c16="http://schemas.microsoft.com/office/drawing/2014/chart" uri="{C3380CC4-5D6E-409C-BE32-E72D297353CC}">
              <c16:uniqueId val="{00000005-0D88-4FFA-AF5E-7D45C8F45391}"/>
            </c:ext>
          </c:extLst>
        </c:ser>
        <c:ser>
          <c:idx val="5"/>
          <c:order val="6"/>
          <c:tx>
            <c:v>Total demand + target headroom (final plan)</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CAMCAM!$G$401:$CI$401</c:f>
              <c:numCache>
                <c:formatCode>0.00</c:formatCode>
                <c:ptCount val="81"/>
                <c:pt idx="0">
                  <c:v>90.940000000000012</c:v>
                </c:pt>
                <c:pt idx="1">
                  <c:v>92.983559690000007</c:v>
                </c:pt>
                <c:pt idx="2">
                  <c:v>100.24366295</c:v>
                </c:pt>
                <c:pt idx="3">
                  <c:v>104.96501184714751</c:v>
                </c:pt>
                <c:pt idx="4">
                  <c:v>105.4945452745461</c:v>
                </c:pt>
                <c:pt idx="5">
                  <c:v>104.4782110426579</c:v>
                </c:pt>
                <c:pt idx="6">
                  <c:v>104.953446241893</c:v>
                </c:pt>
                <c:pt idx="7">
                  <c:v>105.05791081986965</c:v>
                </c:pt>
                <c:pt idx="8">
                  <c:v>105.30084601555053</c:v>
                </c:pt>
                <c:pt idx="9">
                  <c:v>105.64901227155487</c:v>
                </c:pt>
                <c:pt idx="10">
                  <c:v>105.63947926998739</c:v>
                </c:pt>
                <c:pt idx="11">
                  <c:v>104.43363213365559</c:v>
                </c:pt>
                <c:pt idx="12">
                  <c:v>104.27602730533528</c:v>
                </c:pt>
                <c:pt idx="13">
                  <c:v>104.05122884121852</c:v>
                </c:pt>
                <c:pt idx="14">
                  <c:v>103.92751684248962</c:v>
                </c:pt>
                <c:pt idx="15">
                  <c:v>103.58577190268961</c:v>
                </c:pt>
                <c:pt idx="16">
                  <c:v>102.51704815337082</c:v>
                </c:pt>
                <c:pt idx="17">
                  <c:v>102.48266656212824</c:v>
                </c:pt>
                <c:pt idx="18">
                  <c:v>102.37805870007678</c:v>
                </c:pt>
                <c:pt idx="19">
                  <c:v>102.31845649136542</c:v>
                </c:pt>
                <c:pt idx="20">
                  <c:v>102.16941822132985</c:v>
                </c:pt>
                <c:pt idx="21">
                  <c:v>101.49084485289356</c:v>
                </c:pt>
                <c:pt idx="22">
                  <c:v>101.30694070844014</c:v>
                </c:pt>
                <c:pt idx="23">
                  <c:v>101.09754692413601</c:v>
                </c:pt>
                <c:pt idx="24">
                  <c:v>101.22506364906616</c:v>
                </c:pt>
                <c:pt idx="25">
                  <c:v>100.95659724183308</c:v>
                </c:pt>
                <c:pt idx="26">
                  <c:v>101.2636393444234</c:v>
                </c:pt>
                <c:pt idx="27">
                  <c:v>101.32788223295663</c:v>
                </c:pt>
                <c:pt idx="28">
                  <c:v>101.38341725192086</c:v>
                </c:pt>
                <c:pt idx="29">
                  <c:v>101.53861976872169</c:v>
                </c:pt>
                <c:pt idx="30">
                  <c:v>101.30617262021634</c:v>
                </c:pt>
                <c:pt idx="31">
                  <c:v>101.58005508280668</c:v>
                </c:pt>
                <c:pt idx="32">
                  <c:v>101.55994985724148</c:v>
                </c:pt>
                <c:pt idx="33">
                  <c:v>101.58052946690742</c:v>
                </c:pt>
                <c:pt idx="34">
                  <c:v>101.71839455687066</c:v>
                </c:pt>
                <c:pt idx="35">
                  <c:v>101.72370774042363</c:v>
                </c:pt>
                <c:pt idx="36">
                  <c:v>101.96474209923154</c:v>
                </c:pt>
                <c:pt idx="37">
                  <c:v>102.00229207898808</c:v>
                </c:pt>
                <c:pt idx="38">
                  <c:v>102.06462216833252</c:v>
                </c:pt>
                <c:pt idx="39">
                  <c:v>102.26212171533967</c:v>
                </c:pt>
                <c:pt idx="40">
                  <c:v>102.25157833796405</c:v>
                </c:pt>
                <c:pt idx="41">
                  <c:v>102.33457746209942</c:v>
                </c:pt>
                <c:pt idx="42">
                  <c:v>102.33452821150559</c:v>
                </c:pt>
                <c:pt idx="43">
                  <c:v>102.38154877533498</c:v>
                </c:pt>
                <c:pt idx="44">
                  <c:v>102.64630799190782</c:v>
                </c:pt>
                <c:pt idx="45">
                  <c:v>102.5088292047617</c:v>
                </c:pt>
                <c:pt idx="46">
                  <c:v>102.73680376836674</c:v>
                </c:pt>
                <c:pt idx="47">
                  <c:v>102.71589667166309</c:v>
                </c:pt>
                <c:pt idx="48">
                  <c:v>102.8627154492961</c:v>
                </c:pt>
                <c:pt idx="49">
                  <c:v>102.83302248426573</c:v>
                </c:pt>
                <c:pt idx="50">
                  <c:v>102.68082811582519</c:v>
                </c:pt>
                <c:pt idx="51">
                  <c:v>103.06675494996369</c:v>
                </c:pt>
                <c:pt idx="52">
                  <c:v>103.04380114384095</c:v>
                </c:pt>
                <c:pt idx="53">
                  <c:v>103.30859282328828</c:v>
                </c:pt>
                <c:pt idx="54">
                  <c:v>103.42664579942947</c:v>
                </c:pt>
                <c:pt idx="55">
                  <c:v>103.28673311985402</c:v>
                </c:pt>
                <c:pt idx="56">
                  <c:v>103.68919704843397</c:v>
                </c:pt>
                <c:pt idx="57">
                  <c:v>103.56770514136252</c:v>
                </c:pt>
                <c:pt idx="58">
                  <c:v>103.68506464267335</c:v>
                </c:pt>
                <c:pt idx="59">
                  <c:v>103.85610910049792</c:v>
                </c:pt>
                <c:pt idx="60">
                  <c:v>104.11511309589872</c:v>
                </c:pt>
                <c:pt idx="61">
                  <c:v>104.24412382780316</c:v>
                </c:pt>
                <c:pt idx="62">
                  <c:v>104.36646710690565</c:v>
                </c:pt>
                <c:pt idx="63">
                  <c:v>104.33133558466386</c:v>
                </c:pt>
                <c:pt idx="64">
                  <c:v>104.74145492449645</c:v>
                </c:pt>
                <c:pt idx="65">
                  <c:v>104.79089170255688</c:v>
                </c:pt>
                <c:pt idx="66">
                  <c:v>104.75740856431867</c:v>
                </c:pt>
                <c:pt idx="67">
                  <c:v>105.2178671868385</c:v>
                </c:pt>
                <c:pt idx="68">
                  <c:v>105.32078298041171</c:v>
                </c:pt>
                <c:pt idx="69">
                  <c:v>105.34213994208498</c:v>
                </c:pt>
                <c:pt idx="70">
                  <c:v>105.67479951727623</c:v>
                </c:pt>
                <c:pt idx="71">
                  <c:v>105.98368608837133</c:v>
                </c:pt>
                <c:pt idx="72">
                  <c:v>106.1789370375067</c:v>
                </c:pt>
                <c:pt idx="73">
                  <c:v>106.28596429882266</c:v>
                </c:pt>
                <c:pt idx="74">
                  <c:v>106.4408162094757</c:v>
                </c:pt>
                <c:pt idx="75">
                  <c:v>106.44969678421636</c:v>
                </c:pt>
                <c:pt idx="76">
                  <c:v>106.81483328557169</c:v>
                </c:pt>
                <c:pt idx="77">
                  <c:v>106.91982421339492</c:v>
                </c:pt>
                <c:pt idx="78">
                  <c:v>107.17729233826357</c:v>
                </c:pt>
                <c:pt idx="79">
                  <c:v>107.21135036805219</c:v>
                </c:pt>
                <c:pt idx="80">
                  <c:v>109.0987620798041</c:v>
                </c:pt>
              </c:numCache>
            </c:numRef>
          </c:val>
          <c:smooth val="0"/>
          <c:extLst>
            <c:ext xmlns:c16="http://schemas.microsoft.com/office/drawing/2014/chart" uri="{C3380CC4-5D6E-409C-BE32-E72D297353CC}">
              <c16:uniqueId val="{00000006-0D88-4FFA-AF5E-7D45C8F45391}"/>
            </c:ext>
          </c:extLst>
        </c:ser>
        <c:dLbls>
          <c:showLegendKey val="0"/>
          <c:showVal val="0"/>
          <c:showCatName val="0"/>
          <c:showSerName val="0"/>
          <c:showPercent val="0"/>
          <c:showBubbleSize val="0"/>
        </c:dLbls>
        <c:marker val="1"/>
        <c:smooth val="0"/>
        <c:axId val="-1198609920"/>
        <c:axId val="-1198616448"/>
      </c:lineChart>
      <c:catAx>
        <c:axId val="-1198609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198616448"/>
        <c:crosses val="autoZero"/>
        <c:auto val="1"/>
        <c:lblAlgn val="ctr"/>
        <c:lblOffset val="100"/>
        <c:tickLblSkip val="2"/>
        <c:tickMarkSkip val="1"/>
        <c:noMultiLvlLbl val="0"/>
      </c:catAx>
      <c:valAx>
        <c:axId val="-1198616448"/>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98609920"/>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1"/>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139610</xdr:colOff>
      <xdr:row>1</xdr:row>
      <xdr:rowOff>186235</xdr:rowOff>
    </xdr:from>
    <xdr:to>
      <xdr:col>4</xdr:col>
      <xdr:colOff>11795</xdr:colOff>
      <xdr:row>5</xdr:row>
      <xdr:rowOff>63680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2752181" y="390342"/>
          <a:ext cx="2070193" cy="700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142352</xdr:colOff>
      <xdr:row>1</xdr:row>
      <xdr:rowOff>163830</xdr:rowOff>
    </xdr:from>
    <xdr:to>
      <xdr:col>12</xdr:col>
      <xdr:colOff>2188023</xdr:colOff>
      <xdr:row>5</xdr:row>
      <xdr:rowOff>50081</xdr:rowOff>
    </xdr:to>
    <xdr:pic>
      <xdr:nvPicPr>
        <xdr:cNvPr id="5" name="Picture 4" descr="http://www.monmouthshiregreenweb.co.uk/wordpress/wp-content/uploads/2014/08/NRW-logo.jpg">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10137999" y="365536"/>
          <a:ext cx="2449083" cy="693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135963</xdr:colOff>
      <xdr:row>1</xdr:row>
      <xdr:rowOff>190500</xdr:rowOff>
    </xdr:from>
    <xdr:to>
      <xdr:col>13</xdr:col>
      <xdr:colOff>2149761</xdr:colOff>
      <xdr:row>5</xdr:row>
      <xdr:rowOff>44450</xdr:rowOff>
    </xdr:to>
    <xdr:pic>
      <xdr:nvPicPr>
        <xdr:cNvPr id="8" name="Picture 7" descr="Home - Ofwat">
          <a:extLst>
            <a:ext uri="{FF2B5EF4-FFF2-40B4-BE49-F238E27FC236}">
              <a16:creationId xmlns:a16="http://schemas.microsoft.com/office/drawing/2014/main" id="{8199A571-CA11-4639-8954-A08E68D6DC3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31375" y="392206"/>
          <a:ext cx="2013798" cy="660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13606</xdr:colOff>
      <xdr:row>1</xdr:row>
      <xdr:rowOff>1</xdr:rowOff>
    </xdr:from>
    <xdr:to>
      <xdr:col>15</xdr:col>
      <xdr:colOff>187817</xdr:colOff>
      <xdr:row>20</xdr:row>
      <xdr:rowOff>106071</xdr:rowOff>
    </xdr:to>
    <xdr:graphicFrame macro="">
      <xdr:nvGraphicFramePr>
        <xdr:cNvPr id="5" name="CHT1_DYAA_BL">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402464</xdr:colOff>
      <xdr:row>1</xdr:row>
      <xdr:rowOff>26831</xdr:rowOff>
    </xdr:from>
    <xdr:to>
      <xdr:col>24</xdr:col>
      <xdr:colOff>603058</xdr:colOff>
      <xdr:row>20</xdr:row>
      <xdr:rowOff>67077</xdr:rowOff>
    </xdr:to>
    <xdr:graphicFrame macro="">
      <xdr:nvGraphicFramePr>
        <xdr:cNvPr id="6" name="CHT2_DYAA_FP">
          <a:extLst>
            <a:ext uri="{FF2B5EF4-FFF2-40B4-BE49-F238E27FC236}">
              <a16:creationId xmlns:a16="http://schemas.microsoft.com/office/drawing/2014/main" id="{00000000-0008-0000-0300-000006000000}"/>
            </a:ext>
            <a:ext uri="{147F2762-F138-4A5C-976F-8EAC2B608ADB}">
              <a16:predDERef xmlns:a16="http://schemas.microsoft.com/office/drawing/2014/main" pred="{AFD8B5E9-4C48-4411-87BB-8EC677D22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348803</xdr:colOff>
      <xdr:row>182</xdr:row>
      <xdr:rowOff>107324</xdr:rowOff>
    </xdr:from>
    <xdr:to>
      <xdr:col>18</xdr:col>
      <xdr:colOff>428657</xdr:colOff>
      <xdr:row>202</xdr:row>
      <xdr:rowOff>133285</xdr:rowOff>
    </xdr:to>
    <xdr:graphicFrame macro="">
      <xdr:nvGraphicFramePr>
        <xdr:cNvPr id="7" name="CHT3_DYCP_BL">
          <a:extLst>
            <a:ext uri="{FF2B5EF4-FFF2-40B4-BE49-F238E27FC236}">
              <a16:creationId xmlns:a16="http://schemas.microsoft.com/office/drawing/2014/main" id="{00000000-0008-0000-0300-000007000000}"/>
            </a:ext>
            <a:ext uri="{147F2762-F138-4A5C-976F-8EAC2B608ADB}">
              <a16:predDERef xmlns:a16="http://schemas.microsoft.com/office/drawing/2014/main" pred="{02C273D3-42D7-47A5-AB6B-636BE61F1E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684190</xdr:colOff>
      <xdr:row>182</xdr:row>
      <xdr:rowOff>147570</xdr:rowOff>
    </xdr:from>
    <xdr:to>
      <xdr:col>28</xdr:col>
      <xdr:colOff>495544</xdr:colOff>
      <xdr:row>201</xdr:row>
      <xdr:rowOff>160116</xdr:rowOff>
    </xdr:to>
    <xdr:graphicFrame macro="">
      <xdr:nvGraphicFramePr>
        <xdr:cNvPr id="8" name="CHT4_DYCP_FP">
          <a:extLst>
            <a:ext uri="{FF2B5EF4-FFF2-40B4-BE49-F238E27FC236}">
              <a16:creationId xmlns:a16="http://schemas.microsoft.com/office/drawing/2014/main" id="{00000000-0008-0000-0300-000008000000}"/>
            </a:ext>
            <a:ext uri="{147F2762-F138-4A5C-976F-8EAC2B608ADB}">
              <a16:predDERef xmlns:a16="http://schemas.microsoft.com/office/drawing/2014/main" pred="{90B618C1-0CBB-4529-A9A0-23D516B6D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ensz.WATER/AppData/Local/Microsoft/Windows/INetCache/Content.Outlook/FSIZKYDF/5211472-ATK-CA-7.13-105-1%20WRMP24_%20tables_Final%20July_ver_.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kronx\AppData\Local\Temp\Tempbefdf21a-800c-4cee-a193-009ea262373b_Cambridge%20Water%20WRMP%20Table%205a%20and%205b%20(003).zip\Table%205a%20and%205b%20(exc.%20Cambridge%20transfer)%20-%20Aug23%20update%2050Mm3%2050%25%20scheme%20costs%20.xlsm" TargetMode="External"/><Relationship Id="rId1" Type="http://schemas.openxmlformats.org/officeDocument/2006/relationships/externalLinkPath" Target="/Users/akronx/AppData/Local/Temp/Tempbefdf21a-800c-4cee-a193-009ea262373b_Cambridge%20Water%20WRMP%20Table%205a%20and%205b%20(003).zip/Table%205a%20and%205b%20(exc.%20Cambridge%20transfer)%20-%20Aug23%20update%2050Mm3%2050%25%20scheme%20costs%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PAGE"/>
      <sheetName val="5a-5c. Cost Profiles"/>
    </sheetNames>
    <sheetDataSet>
      <sheetData sheetId="0">
        <row r="18">
          <cell r="D18" t="str">
            <v>Cambridge Water</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cord"/>
      <sheetName val="QA"/>
      <sheetName val="Notes on Template"/>
      <sheetName val="Notable data and assumptions"/>
      <sheetName val="Settings"/>
      <sheetName val="Options"/>
      <sheetName val="Profiles"/>
      <sheetName val="Metrics"/>
      <sheetName val="Options AIC"/>
      <sheetName val="Checking pivot"/>
      <sheetName val="Checking tab"/>
      <sheetName val="AIC calc"/>
      <sheetName val="Table 5a&amp;b"/>
      <sheetName val="Reference Calculations --&gt;"/>
      <sheetName val="BOQ + C55 Capex"/>
      <sheetName val="Opex"/>
      <sheetName val="FENS"/>
      <sheetName val="Summary (exc Fens to Camb)"/>
      <sheetName val="Table 5a and 5b (exc"/>
    </sheetNames>
    <sheetDataSet>
      <sheetData sheetId="0"/>
      <sheetData sheetId="1"/>
      <sheetData sheetId="2"/>
      <sheetData sheetId="3"/>
      <sheetData sheetId="4"/>
      <sheetData sheetId="5"/>
      <sheetData sheetId="6"/>
      <sheetData sheetId="7"/>
      <sheetData sheetId="8"/>
      <sheetData sheetId="9"/>
      <sheetData sheetId="10"/>
      <sheetData sheetId="11">
        <row r="103">
          <cell r="G103" t="str">
            <v>2025-26</v>
          </cell>
        </row>
      </sheetData>
      <sheetData sheetId="12"/>
      <sheetData sheetId="13"/>
      <sheetData sheetId="14"/>
      <sheetData sheetId="15"/>
      <sheetData sheetId="16"/>
      <sheetData sheetId="17"/>
      <sheetData sheetId="1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1a_IndivLic" displayName="TBL1a_IndivLic" ref="B9:L36" totalsRowShown="0" headerRowDxfId="1711" headerRowBorderDxfId="1710" tableBorderDxfId="1709" totalsRowBorderDxfId="1708" headerRowCellStyle="Normal 2">
  <autoFilter ref="B9:L36" xr:uid="{00000000-0009-0000-0100-000001000000}"/>
  <tableColumns count="11">
    <tableColumn id="2" xr3:uid="{00000000-0010-0000-0000-000002000000}" name="WRMP24 Reference" dataDxfId="1707" totalsRowDxfId="1706"/>
    <tableColumn id="3" xr3:uid="{00000000-0010-0000-0000-000003000000}" name="Derivation" dataDxfId="1705" totalsRowDxfId="1704"/>
    <tableColumn id="4" xr3:uid="{00000000-0010-0000-0000-000004000000}" name="Licence number" dataDxfId="1703" totalsRowDxfId="1702"/>
    <tableColumn id="5" xr3:uid="{00000000-0010-0000-0000-000005000000}" name="Source name" dataDxfId="1701" totalsRowDxfId="1700"/>
    <tableColumn id="6" xr3:uid="{00000000-0010-0000-0000-000006000000}" name="Source type" dataDxfId="1699" totalsRowDxfId="1698"/>
    <tableColumn id="7" xr3:uid="{00000000-0010-0000-0000-000007000000}" name="WRZ Code" dataDxfId="1697" totalsRowDxfId="1696"/>
    <tableColumn id="8" xr3:uid="{00000000-0010-0000-0000-000008000000}" name="DYAA deployable output (Ml/d)" dataDxfId="1695"/>
    <tableColumn id="1" xr3:uid="{00000000-0010-0000-0000-000001000000}" name="DYCP deployable output (Ml/d)" dataDxfId="1694" totalsRowDxfId="1693">
      <calculatedColumnFormula>SUM(I11:I36)</calculatedColumnFormula>
    </tableColumn>
    <tableColumn id="9" xr3:uid="{00000000-0010-0000-0000-000009000000}" name="Annual licensed quantity (Ml/d)" dataDxfId="1692" totalsRowDxfId="1691"/>
    <tableColumn id="10" xr3:uid="{00000000-0010-0000-0000-00000A000000}" name="Constraints on deployable output" dataDxfId="1690" totalsRowDxfId="1689"/>
    <tableColumn id="11" xr3:uid="{00000000-0010-0000-0000-00000B000000}" name="Additional notes (if desired)" dataDxfId="1688" totalsRowDxfId="1687"/>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F000000}" name="TBL2f_WCDYAA_LoS" displayName="TBL2f_WCDYAA_LoS" ref="B83:CJ91" totalsRowShown="0" headerRowDxfId="1501" dataDxfId="1499" headerRowBorderDxfId="1500" tableBorderDxfId="1498" headerRowCellStyle="Normal 2">
  <autoFilter ref="B83:CJ91" xr:uid="{00000000-0009-0000-0100-000017000000}"/>
  <tableColumns count="87">
    <tableColumn id="1" xr3:uid="{00000000-0010-0000-0F00-000001000000}" name="WRMP24 Reference" dataDxfId="1497"/>
    <tableColumn id="2" xr3:uid="{00000000-0010-0000-0F00-000002000000}" name="Component" dataDxfId="1496"/>
    <tableColumn id="3" xr3:uid="{00000000-0010-0000-0F00-000003000000}" name="Derivation" dataDxfId="1495"/>
    <tableColumn id="4" xr3:uid="{00000000-0010-0000-0F00-000004000000}" name="Unit" dataDxfId="1494"/>
    <tableColumn id="5" xr3:uid="{00000000-0010-0000-0F00-000005000000}" name="Decimal places" dataDxfId="1493"/>
    <tableColumn id="6" xr3:uid="{00000000-0010-0000-0F00-000006000000}" name="2019-20" dataDxfId="1492"/>
    <tableColumn id="7" xr3:uid="{00000000-0010-0000-0F00-000007000000}" name="2020-21" dataDxfId="1491"/>
    <tableColumn id="8" xr3:uid="{00000000-0010-0000-0F00-000008000000}" name="2021-22" dataDxfId="1490"/>
    <tableColumn id="9" xr3:uid="{00000000-0010-0000-0F00-000009000000}" name="2022-23" dataDxfId="1489"/>
    <tableColumn id="10" xr3:uid="{00000000-0010-0000-0F00-00000A000000}" name="2023-24" dataDxfId="1488"/>
    <tableColumn id="11" xr3:uid="{00000000-0010-0000-0F00-00000B000000}" name="2024-25" dataDxfId="1487"/>
    <tableColumn id="12" xr3:uid="{00000000-0010-0000-0F00-00000C000000}" name="2025-26" dataDxfId="1486"/>
    <tableColumn id="13" xr3:uid="{00000000-0010-0000-0F00-00000D000000}" name="2026-27" dataDxfId="1485"/>
    <tableColumn id="14" xr3:uid="{00000000-0010-0000-0F00-00000E000000}" name="2027-28" dataDxfId="1484"/>
    <tableColumn id="15" xr3:uid="{00000000-0010-0000-0F00-00000F000000}" name="2028-29" dataDxfId="1483"/>
    <tableColumn id="16" xr3:uid="{00000000-0010-0000-0F00-000010000000}" name="2029-30" dataDxfId="1482"/>
    <tableColumn id="17" xr3:uid="{00000000-0010-0000-0F00-000011000000}" name="2030-31" dataDxfId="1481"/>
    <tableColumn id="18" xr3:uid="{00000000-0010-0000-0F00-000012000000}" name="2031-32" dataDxfId="1480"/>
    <tableColumn id="19" xr3:uid="{00000000-0010-0000-0F00-000013000000}" name="2032-33" dataDxfId="1479"/>
    <tableColumn id="20" xr3:uid="{00000000-0010-0000-0F00-000014000000}" name="2033-34" dataDxfId="1478"/>
    <tableColumn id="21" xr3:uid="{00000000-0010-0000-0F00-000015000000}" name="2034-35" dataDxfId="1477"/>
    <tableColumn id="22" xr3:uid="{00000000-0010-0000-0F00-000016000000}" name="2035-36" dataDxfId="1476"/>
    <tableColumn id="23" xr3:uid="{00000000-0010-0000-0F00-000017000000}" name="2036-37" dataDxfId="1475"/>
    <tableColumn id="24" xr3:uid="{00000000-0010-0000-0F00-000018000000}" name="2037-38" dataDxfId="1474"/>
    <tableColumn id="25" xr3:uid="{00000000-0010-0000-0F00-000019000000}" name="2038-39" dataDxfId="1473"/>
    <tableColumn id="26" xr3:uid="{00000000-0010-0000-0F00-00001A000000}" name="2039-40" dataDxfId="1472"/>
    <tableColumn id="27" xr3:uid="{00000000-0010-0000-0F00-00001B000000}" name="2040-41" dataDxfId="1471"/>
    <tableColumn id="28" xr3:uid="{00000000-0010-0000-0F00-00001C000000}" name="2041-42" dataDxfId="1470"/>
    <tableColumn id="29" xr3:uid="{00000000-0010-0000-0F00-00001D000000}" name="2042-43" dataDxfId="1469"/>
    <tableColumn id="30" xr3:uid="{00000000-0010-0000-0F00-00001E000000}" name="2043-44" dataDxfId="1468"/>
    <tableColumn id="31" xr3:uid="{00000000-0010-0000-0F00-00001F000000}" name="2044-45" dataDxfId="1467"/>
    <tableColumn id="32" xr3:uid="{00000000-0010-0000-0F00-000020000000}" name="2045-46" dataDxfId="1466"/>
    <tableColumn id="33" xr3:uid="{00000000-0010-0000-0F00-000021000000}" name="2046-47" dataDxfId="1465"/>
    <tableColumn id="34" xr3:uid="{00000000-0010-0000-0F00-000022000000}" name="2047-48" dataDxfId="1464"/>
    <tableColumn id="35" xr3:uid="{00000000-0010-0000-0F00-000023000000}" name="2048-49" dataDxfId="1463"/>
    <tableColumn id="36" xr3:uid="{00000000-0010-0000-0F00-000024000000}" name="2049-50" dataDxfId="1462"/>
    <tableColumn id="37" xr3:uid="{00000000-0010-0000-0F00-000025000000}" name="2050-51" dataDxfId="1461"/>
    <tableColumn id="38" xr3:uid="{00000000-0010-0000-0F00-000026000000}" name="2051-52" dataDxfId="1460"/>
    <tableColumn id="39" xr3:uid="{00000000-0010-0000-0F00-000027000000}" name="2052-53" dataDxfId="1459"/>
    <tableColumn id="40" xr3:uid="{00000000-0010-0000-0F00-000028000000}" name="2053-54" dataDxfId="1458"/>
    <tableColumn id="41" xr3:uid="{00000000-0010-0000-0F00-000029000000}" name="2054-55" dataDxfId="1457"/>
    <tableColumn id="42" xr3:uid="{00000000-0010-0000-0F00-00002A000000}" name="2055-56" dataDxfId="1456"/>
    <tableColumn id="43" xr3:uid="{00000000-0010-0000-0F00-00002B000000}" name="2056-57" dataDxfId="1455"/>
    <tableColumn id="44" xr3:uid="{00000000-0010-0000-0F00-00002C000000}" name="2057-58" dataDxfId="1454"/>
    <tableColumn id="45" xr3:uid="{00000000-0010-0000-0F00-00002D000000}" name="2058-59" dataDxfId="1453"/>
    <tableColumn id="46" xr3:uid="{00000000-0010-0000-0F00-00002E000000}" name="2059-60" dataDxfId="1452"/>
    <tableColumn id="47" xr3:uid="{00000000-0010-0000-0F00-00002F000000}" name="2060-61" dataDxfId="1451"/>
    <tableColumn id="48" xr3:uid="{00000000-0010-0000-0F00-000030000000}" name="2061-62" dataDxfId="1450"/>
    <tableColumn id="49" xr3:uid="{00000000-0010-0000-0F00-000031000000}" name="2062-63" dataDxfId="1449"/>
    <tableColumn id="50" xr3:uid="{00000000-0010-0000-0F00-000032000000}" name="2063-64" dataDxfId="1448"/>
    <tableColumn id="51" xr3:uid="{00000000-0010-0000-0F00-000033000000}" name="2064-65" dataDxfId="1447"/>
    <tableColumn id="52" xr3:uid="{00000000-0010-0000-0F00-000034000000}" name="2065-66" dataDxfId="1446"/>
    <tableColumn id="53" xr3:uid="{00000000-0010-0000-0F00-000035000000}" name="2066-67" dataDxfId="1445"/>
    <tableColumn id="54" xr3:uid="{00000000-0010-0000-0F00-000036000000}" name="2067-68" dataDxfId="1444"/>
    <tableColumn id="55" xr3:uid="{00000000-0010-0000-0F00-000037000000}" name="2068-69" dataDxfId="1443"/>
    <tableColumn id="56" xr3:uid="{00000000-0010-0000-0F00-000038000000}" name="2069-70" dataDxfId="1442"/>
    <tableColumn id="57" xr3:uid="{00000000-0010-0000-0F00-000039000000}" name="2070-71" dataDxfId="1441"/>
    <tableColumn id="58" xr3:uid="{00000000-0010-0000-0F00-00003A000000}" name="2071-72" dataDxfId="1440"/>
    <tableColumn id="59" xr3:uid="{00000000-0010-0000-0F00-00003B000000}" name="2072-73" dataDxfId="1439"/>
    <tableColumn id="60" xr3:uid="{00000000-0010-0000-0F00-00003C000000}" name="2073-74" dataDxfId="1438"/>
    <tableColumn id="61" xr3:uid="{00000000-0010-0000-0F00-00003D000000}" name="2074-75" dataDxfId="1437"/>
    <tableColumn id="62" xr3:uid="{00000000-0010-0000-0F00-00003E000000}" name="2075-76" dataDxfId="1436"/>
    <tableColumn id="63" xr3:uid="{00000000-0010-0000-0F00-00003F000000}" name="2076-77" dataDxfId="1435"/>
    <tableColumn id="64" xr3:uid="{00000000-0010-0000-0F00-000040000000}" name="2077-78" dataDxfId="1434"/>
    <tableColumn id="65" xr3:uid="{00000000-0010-0000-0F00-000041000000}" name="2078-79" dataDxfId="1433"/>
    <tableColumn id="66" xr3:uid="{00000000-0010-0000-0F00-000042000000}" name="2079-80" dataDxfId="1432"/>
    <tableColumn id="67" xr3:uid="{00000000-0010-0000-0F00-000043000000}" name="2080-81" dataDxfId="1431"/>
    <tableColumn id="68" xr3:uid="{00000000-0010-0000-0F00-000044000000}" name="2081-82" dataDxfId="1430"/>
    <tableColumn id="69" xr3:uid="{00000000-0010-0000-0F00-000045000000}" name="2082-83" dataDxfId="1429"/>
    <tableColumn id="70" xr3:uid="{00000000-0010-0000-0F00-000046000000}" name="2083-84" dataDxfId="1428"/>
    <tableColumn id="71" xr3:uid="{00000000-0010-0000-0F00-000047000000}" name="2084-85" dataDxfId="1427"/>
    <tableColumn id="72" xr3:uid="{00000000-0010-0000-0F00-000048000000}" name="2085-86" dataDxfId="1426"/>
    <tableColumn id="73" xr3:uid="{00000000-0010-0000-0F00-000049000000}" name="2086-87" dataDxfId="1425"/>
    <tableColumn id="74" xr3:uid="{00000000-0010-0000-0F00-00004A000000}" name="2087-88" dataDxfId="1424"/>
    <tableColumn id="75" xr3:uid="{00000000-0010-0000-0F00-00004B000000}" name="2088-89" dataDxfId="1423"/>
    <tableColumn id="76" xr3:uid="{00000000-0010-0000-0F00-00004C000000}" name="2089-90" dataDxfId="1422"/>
    <tableColumn id="77" xr3:uid="{00000000-0010-0000-0F00-00004D000000}" name="2090-91" dataDxfId="1421"/>
    <tableColumn id="78" xr3:uid="{00000000-0010-0000-0F00-00004E000000}" name="2091-92" dataDxfId="1420"/>
    <tableColumn id="79" xr3:uid="{00000000-0010-0000-0F00-00004F000000}" name="2092-93" dataDxfId="1419"/>
    <tableColumn id="80" xr3:uid="{00000000-0010-0000-0F00-000050000000}" name="2093-94" dataDxfId="1418"/>
    <tableColumn id="81" xr3:uid="{00000000-0010-0000-0F00-000051000000}" name="2094-95" dataDxfId="1417"/>
    <tableColumn id="82" xr3:uid="{00000000-0010-0000-0F00-000052000000}" name="2095-96" dataDxfId="1416"/>
    <tableColumn id="83" xr3:uid="{00000000-0010-0000-0F00-000053000000}" name="2096-97" dataDxfId="1415"/>
    <tableColumn id="84" xr3:uid="{00000000-0010-0000-0F00-000054000000}" name="2097-98" dataDxfId="1414"/>
    <tableColumn id="85" xr3:uid="{00000000-0010-0000-0F00-000055000000}" name="2098-99" dataDxfId="1413"/>
    <tableColumn id="86" xr3:uid="{00000000-0010-0000-0F00-000056000000}" name="2099-100" dataDxfId="1412"/>
    <tableColumn id="87" xr3:uid="{00000000-0010-0000-0F00-000057000000}" name="2100-01" dataDxfId="1411"/>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0000000}" name="TBL2c_WCDYAA_Metering" displayName="TBL2c_WCDYAA_Metering" ref="B41:CJ52" totalsRowShown="0" headerRowDxfId="1410" dataDxfId="1408" headerRowBorderDxfId="1409" tableBorderDxfId="1407" headerRowCellStyle="Normal 2">
  <autoFilter ref="B41:CJ52" xr:uid="{00000000-0009-0000-0100-000014000000}"/>
  <tableColumns count="87">
    <tableColumn id="1" xr3:uid="{00000000-0010-0000-1000-000001000000}" name="WRMP24 Reference" dataDxfId="1406"/>
    <tableColumn id="2" xr3:uid="{00000000-0010-0000-1000-000002000000}" name="Component" dataDxfId="1405"/>
    <tableColumn id="3" xr3:uid="{00000000-0010-0000-1000-000003000000}" name="Derivation" dataDxfId="1404"/>
    <tableColumn id="4" xr3:uid="{00000000-0010-0000-1000-000004000000}" name="Unit" dataDxfId="1403"/>
    <tableColumn id="5" xr3:uid="{00000000-0010-0000-1000-000005000000}" name="Decimal places" dataDxfId="1402"/>
    <tableColumn id="6" xr3:uid="{00000000-0010-0000-1000-000006000000}" name="2019-20" dataDxfId="1401"/>
    <tableColumn id="7" xr3:uid="{00000000-0010-0000-1000-000007000000}" name="2020-21" dataDxfId="1400"/>
    <tableColumn id="8" xr3:uid="{00000000-0010-0000-1000-000008000000}" name="2021-22" dataDxfId="1399"/>
    <tableColumn id="9" xr3:uid="{00000000-0010-0000-1000-000009000000}" name="2022-23" dataDxfId="1398"/>
    <tableColumn id="10" xr3:uid="{00000000-0010-0000-1000-00000A000000}" name="2023-24" dataDxfId="1397"/>
    <tableColumn id="11" xr3:uid="{00000000-0010-0000-1000-00000B000000}" name="2024-25" dataDxfId="1396"/>
    <tableColumn id="12" xr3:uid="{00000000-0010-0000-1000-00000C000000}" name="2025-26" dataDxfId="1395"/>
    <tableColumn id="13" xr3:uid="{00000000-0010-0000-1000-00000D000000}" name="2026-27" dataDxfId="1394"/>
    <tableColumn id="14" xr3:uid="{00000000-0010-0000-1000-00000E000000}" name="2027-28" dataDxfId="1393"/>
    <tableColumn id="15" xr3:uid="{00000000-0010-0000-1000-00000F000000}" name="2028-29" dataDxfId="1392"/>
    <tableColumn id="16" xr3:uid="{00000000-0010-0000-1000-000010000000}" name="2029-30" dataDxfId="1391"/>
    <tableColumn id="17" xr3:uid="{00000000-0010-0000-1000-000011000000}" name="2030-31" dataDxfId="1390"/>
    <tableColumn id="18" xr3:uid="{00000000-0010-0000-1000-000012000000}" name="2031-32" dataDxfId="1389"/>
    <tableColumn id="19" xr3:uid="{00000000-0010-0000-1000-000013000000}" name="2032-33" dataDxfId="1388"/>
    <tableColumn id="20" xr3:uid="{00000000-0010-0000-1000-000014000000}" name="2033-34" dataDxfId="1387"/>
    <tableColumn id="21" xr3:uid="{00000000-0010-0000-1000-000015000000}" name="2034-35" dataDxfId="1386"/>
    <tableColumn id="22" xr3:uid="{00000000-0010-0000-1000-000016000000}" name="2035-36" dataDxfId="1385"/>
    <tableColumn id="23" xr3:uid="{00000000-0010-0000-1000-000017000000}" name="2036-37" dataDxfId="1384"/>
    <tableColumn id="24" xr3:uid="{00000000-0010-0000-1000-000018000000}" name="2037-38" dataDxfId="1383"/>
    <tableColumn id="25" xr3:uid="{00000000-0010-0000-1000-000019000000}" name="2038-39" dataDxfId="1382"/>
    <tableColumn id="26" xr3:uid="{00000000-0010-0000-1000-00001A000000}" name="2039-40" dataDxfId="1381"/>
    <tableColumn id="27" xr3:uid="{00000000-0010-0000-1000-00001B000000}" name="2040-41" dataDxfId="1380"/>
    <tableColumn id="28" xr3:uid="{00000000-0010-0000-1000-00001C000000}" name="2041-42" dataDxfId="1379"/>
    <tableColumn id="29" xr3:uid="{00000000-0010-0000-1000-00001D000000}" name="2042-43" dataDxfId="1378"/>
    <tableColumn id="30" xr3:uid="{00000000-0010-0000-1000-00001E000000}" name="2043-44" dataDxfId="1377"/>
    <tableColumn id="31" xr3:uid="{00000000-0010-0000-1000-00001F000000}" name="2044-45" dataDxfId="1376"/>
    <tableColumn id="32" xr3:uid="{00000000-0010-0000-1000-000020000000}" name="2045-46" dataDxfId="1375"/>
    <tableColumn id="33" xr3:uid="{00000000-0010-0000-1000-000021000000}" name="2046-47" dataDxfId="1374"/>
    <tableColumn id="34" xr3:uid="{00000000-0010-0000-1000-000022000000}" name="2047-48" dataDxfId="1373"/>
    <tableColumn id="35" xr3:uid="{00000000-0010-0000-1000-000023000000}" name="2048-49" dataDxfId="1372"/>
    <tableColumn id="36" xr3:uid="{00000000-0010-0000-1000-000024000000}" name="2049-50" dataDxfId="1371"/>
    <tableColumn id="37" xr3:uid="{00000000-0010-0000-1000-000025000000}" name="2050-51" dataDxfId="1370"/>
    <tableColumn id="38" xr3:uid="{00000000-0010-0000-1000-000026000000}" name="2051-52" dataDxfId="1369"/>
    <tableColumn id="39" xr3:uid="{00000000-0010-0000-1000-000027000000}" name="2052-53" dataDxfId="1368"/>
    <tableColumn id="40" xr3:uid="{00000000-0010-0000-1000-000028000000}" name="2053-54" dataDxfId="1367"/>
    <tableColumn id="41" xr3:uid="{00000000-0010-0000-1000-000029000000}" name="2054-55" dataDxfId="1366"/>
    <tableColumn id="42" xr3:uid="{00000000-0010-0000-1000-00002A000000}" name="2055-56" dataDxfId="1365"/>
    <tableColumn id="43" xr3:uid="{00000000-0010-0000-1000-00002B000000}" name="2056-57" dataDxfId="1364"/>
    <tableColumn id="44" xr3:uid="{00000000-0010-0000-1000-00002C000000}" name="2057-58" dataDxfId="1363"/>
    <tableColumn id="45" xr3:uid="{00000000-0010-0000-1000-00002D000000}" name="2058-59" dataDxfId="1362"/>
    <tableColumn id="46" xr3:uid="{00000000-0010-0000-1000-00002E000000}" name="2059-60" dataDxfId="1361"/>
    <tableColumn id="47" xr3:uid="{00000000-0010-0000-1000-00002F000000}" name="2060-61" dataDxfId="1360"/>
    <tableColumn id="48" xr3:uid="{00000000-0010-0000-1000-000030000000}" name="2061-62" dataDxfId="1359"/>
    <tableColumn id="49" xr3:uid="{00000000-0010-0000-1000-000031000000}" name="2062-63" dataDxfId="1358"/>
    <tableColumn id="50" xr3:uid="{00000000-0010-0000-1000-000032000000}" name="2063-64" dataDxfId="1357"/>
    <tableColumn id="51" xr3:uid="{00000000-0010-0000-1000-000033000000}" name="2064-65" dataDxfId="1356"/>
    <tableColumn id="52" xr3:uid="{00000000-0010-0000-1000-000034000000}" name="2065-66" dataDxfId="1355"/>
    <tableColumn id="53" xr3:uid="{00000000-0010-0000-1000-000035000000}" name="2066-67" dataDxfId="1354"/>
    <tableColumn id="54" xr3:uid="{00000000-0010-0000-1000-000036000000}" name="2067-68" dataDxfId="1353"/>
    <tableColumn id="55" xr3:uid="{00000000-0010-0000-1000-000037000000}" name="2068-69" dataDxfId="1352"/>
    <tableColumn id="56" xr3:uid="{00000000-0010-0000-1000-000038000000}" name="2069-70" dataDxfId="1351"/>
    <tableColumn id="57" xr3:uid="{00000000-0010-0000-1000-000039000000}" name="2070-71" dataDxfId="1350"/>
    <tableColumn id="58" xr3:uid="{00000000-0010-0000-1000-00003A000000}" name="2071-72" dataDxfId="1349"/>
    <tableColumn id="59" xr3:uid="{00000000-0010-0000-1000-00003B000000}" name="2072-73" dataDxfId="1348"/>
    <tableColumn id="60" xr3:uid="{00000000-0010-0000-1000-00003C000000}" name="2073-74" dataDxfId="1347"/>
    <tableColumn id="61" xr3:uid="{00000000-0010-0000-1000-00003D000000}" name="2074-75" dataDxfId="1346"/>
    <tableColumn id="62" xr3:uid="{00000000-0010-0000-1000-00003E000000}" name="2075-76" dataDxfId="1345"/>
    <tableColumn id="63" xr3:uid="{00000000-0010-0000-1000-00003F000000}" name="2076-77" dataDxfId="1344"/>
    <tableColumn id="64" xr3:uid="{00000000-0010-0000-1000-000040000000}" name="2077-78" dataDxfId="1343"/>
    <tableColumn id="65" xr3:uid="{00000000-0010-0000-1000-000041000000}" name="2078-79" dataDxfId="1342"/>
    <tableColumn id="66" xr3:uid="{00000000-0010-0000-1000-000042000000}" name="2079-80" dataDxfId="1341"/>
    <tableColumn id="67" xr3:uid="{00000000-0010-0000-1000-000043000000}" name="2080-81" dataDxfId="1340"/>
    <tableColumn id="68" xr3:uid="{00000000-0010-0000-1000-000044000000}" name="2081-82" dataDxfId="1339"/>
    <tableColumn id="69" xr3:uid="{00000000-0010-0000-1000-000045000000}" name="2082-83" dataDxfId="1338"/>
    <tableColumn id="70" xr3:uid="{00000000-0010-0000-1000-000046000000}" name="2083-84" dataDxfId="1337"/>
    <tableColumn id="71" xr3:uid="{00000000-0010-0000-1000-000047000000}" name="2084-85" dataDxfId="1336"/>
    <tableColumn id="72" xr3:uid="{00000000-0010-0000-1000-000048000000}" name="2085-86" dataDxfId="1335"/>
    <tableColumn id="73" xr3:uid="{00000000-0010-0000-1000-000049000000}" name="2086-87" dataDxfId="1334"/>
    <tableColumn id="74" xr3:uid="{00000000-0010-0000-1000-00004A000000}" name="2087-88" dataDxfId="1333"/>
    <tableColumn id="75" xr3:uid="{00000000-0010-0000-1000-00004B000000}" name="2088-89" dataDxfId="1332"/>
    <tableColumn id="76" xr3:uid="{00000000-0010-0000-1000-00004C000000}" name="2089-90" dataDxfId="1331"/>
    <tableColumn id="77" xr3:uid="{00000000-0010-0000-1000-00004D000000}" name="2090-91" dataDxfId="1330"/>
    <tableColumn id="78" xr3:uid="{00000000-0010-0000-1000-00004E000000}" name="2091-92" dataDxfId="1329"/>
    <tableColumn id="79" xr3:uid="{00000000-0010-0000-1000-00004F000000}" name="2092-93" dataDxfId="1328"/>
    <tableColumn id="80" xr3:uid="{00000000-0010-0000-1000-000050000000}" name="2093-94" dataDxfId="1327"/>
    <tableColumn id="81" xr3:uid="{00000000-0010-0000-1000-000051000000}" name="2094-95" dataDxfId="1326"/>
    <tableColumn id="82" xr3:uid="{00000000-0010-0000-1000-000052000000}" name="2095-96" dataDxfId="1325"/>
    <tableColumn id="83" xr3:uid="{00000000-0010-0000-1000-000053000000}" name="2096-97" dataDxfId="1324"/>
    <tableColumn id="84" xr3:uid="{00000000-0010-0000-1000-000054000000}" name="2097-98" dataDxfId="1323"/>
    <tableColumn id="85" xr3:uid="{00000000-0010-0000-1000-000055000000}" name="2098-99" dataDxfId="1322"/>
    <tableColumn id="86" xr3:uid="{00000000-0010-0000-1000-000056000000}" name="2099-100" dataDxfId="1321"/>
    <tableColumn id="87" xr3:uid="{00000000-0010-0000-1000-000057000000}" name="2100-01" dataDxfId="1320"/>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TBL3a_DYAABL_" displayName="TBL3a_DYAABL_" ref="B23:CJ91" totalsRowShown="0" headerRowDxfId="1319" dataDxfId="1318" tableBorderDxfId="1317" headerRowCellStyle="Normal 2 2 2">
  <autoFilter ref="B23:CJ91" xr:uid="{00000000-0009-0000-0100-00000C000000}"/>
  <tableColumns count="87">
    <tableColumn id="1" xr3:uid="{00000000-0010-0000-0700-000001000000}" name="WRMP24 reference" dataDxfId="1316" dataCellStyle="Normal 2 2 2"/>
    <tableColumn id="2" xr3:uid="{00000000-0010-0000-0700-000002000000}" name="Component" dataDxfId="1315" dataCellStyle="Normal 2 2 2"/>
    <tableColumn id="3" xr3:uid="{00000000-0010-0000-0700-000003000000}" name="Derivation" dataDxfId="1314" dataCellStyle="Normal 2 2 2"/>
    <tableColumn id="4" xr3:uid="{00000000-0010-0000-0700-000004000000}" name="Unit" dataDxfId="1313" dataCellStyle="Normal 2 2 2"/>
    <tableColumn id="5" xr3:uid="{00000000-0010-0000-0700-000005000000}" name="Decimal places" dataDxfId="1312" dataCellStyle="Normal 2 2 2"/>
    <tableColumn id="6" xr3:uid="{00000000-0010-0000-0700-000006000000}" name="2019-20" dataDxfId="1311"/>
    <tableColumn id="7" xr3:uid="{00000000-0010-0000-0700-000007000000}" name="2020-21" dataDxfId="1310"/>
    <tableColumn id="8" xr3:uid="{00000000-0010-0000-0700-000008000000}" name="2021-22" dataDxfId="1309"/>
    <tableColumn id="9" xr3:uid="{00000000-0010-0000-0700-000009000000}" name="2022-23" dataDxfId="1308"/>
    <tableColumn id="10" xr3:uid="{00000000-0010-0000-0700-00000A000000}" name="2023-24" dataDxfId="1307"/>
    <tableColumn id="11" xr3:uid="{00000000-0010-0000-0700-00000B000000}" name="2024-25" dataDxfId="1306"/>
    <tableColumn id="12" xr3:uid="{00000000-0010-0000-0700-00000C000000}" name="2025-26" dataDxfId="1305"/>
    <tableColumn id="13" xr3:uid="{00000000-0010-0000-0700-00000D000000}" name="2026-27" dataDxfId="1304"/>
    <tableColumn id="14" xr3:uid="{00000000-0010-0000-0700-00000E000000}" name="2027-28" dataDxfId="1303"/>
    <tableColumn id="15" xr3:uid="{00000000-0010-0000-0700-00000F000000}" name="2028-29" dataDxfId="1302"/>
    <tableColumn id="16" xr3:uid="{00000000-0010-0000-0700-000010000000}" name="2029-30" dataDxfId="1301"/>
    <tableColumn id="17" xr3:uid="{00000000-0010-0000-0700-000011000000}" name="2030-31" dataDxfId="1300"/>
    <tableColumn id="18" xr3:uid="{00000000-0010-0000-0700-000012000000}" name="2031-32" dataDxfId="1299"/>
    <tableColumn id="19" xr3:uid="{00000000-0010-0000-0700-000013000000}" name="2032-33" dataDxfId="1298"/>
    <tableColumn id="20" xr3:uid="{00000000-0010-0000-0700-000014000000}" name="2033-34" dataDxfId="1297"/>
    <tableColumn id="21" xr3:uid="{00000000-0010-0000-0700-000015000000}" name="2034-35" dataDxfId="1296"/>
    <tableColumn id="22" xr3:uid="{00000000-0010-0000-0700-000016000000}" name="2035-36" dataDxfId="1295"/>
    <tableColumn id="23" xr3:uid="{00000000-0010-0000-0700-000017000000}" name="2036-37" dataDxfId="1294"/>
    <tableColumn id="24" xr3:uid="{00000000-0010-0000-0700-000018000000}" name="2037-38" dataDxfId="1293"/>
    <tableColumn id="25" xr3:uid="{00000000-0010-0000-0700-000019000000}" name="2038-39" dataDxfId="1292"/>
    <tableColumn id="26" xr3:uid="{00000000-0010-0000-0700-00001A000000}" name="2039-40" dataDxfId="1291"/>
    <tableColumn id="27" xr3:uid="{00000000-0010-0000-0700-00001B000000}" name="2040-41" dataDxfId="1290"/>
    <tableColumn id="28" xr3:uid="{00000000-0010-0000-0700-00001C000000}" name="2041-42" dataDxfId="1289"/>
    <tableColumn id="29" xr3:uid="{00000000-0010-0000-0700-00001D000000}" name="2042-43" dataDxfId="1288"/>
    <tableColumn id="30" xr3:uid="{00000000-0010-0000-0700-00001E000000}" name="2043-44" dataDxfId="1287"/>
    <tableColumn id="31" xr3:uid="{00000000-0010-0000-0700-00001F000000}" name="2044-45" dataDxfId="1286"/>
    <tableColumn id="32" xr3:uid="{00000000-0010-0000-0700-000020000000}" name="2045-46" dataDxfId="1285"/>
    <tableColumn id="33" xr3:uid="{00000000-0010-0000-0700-000021000000}" name="2046-47" dataDxfId="1284"/>
    <tableColumn id="34" xr3:uid="{00000000-0010-0000-0700-000022000000}" name="2047-48" dataDxfId="1283"/>
    <tableColumn id="35" xr3:uid="{00000000-0010-0000-0700-000023000000}" name="2048-49" dataDxfId="1282"/>
    <tableColumn id="36" xr3:uid="{00000000-0010-0000-0700-000024000000}" name="2049-50" dataDxfId="1281"/>
    <tableColumn id="37" xr3:uid="{00000000-0010-0000-0700-000025000000}" name="2050-51" dataDxfId="1280"/>
    <tableColumn id="38" xr3:uid="{00000000-0010-0000-0700-000026000000}" name="2051-52" dataDxfId="1279"/>
    <tableColumn id="39" xr3:uid="{00000000-0010-0000-0700-000027000000}" name="2052-53" dataDxfId="1278"/>
    <tableColumn id="40" xr3:uid="{00000000-0010-0000-0700-000028000000}" name="2053-54" dataDxfId="1277"/>
    <tableColumn id="41" xr3:uid="{00000000-0010-0000-0700-000029000000}" name="2054-55" dataDxfId="1276"/>
    <tableColumn id="42" xr3:uid="{00000000-0010-0000-0700-00002A000000}" name="2055-56" dataDxfId="1275"/>
    <tableColumn id="43" xr3:uid="{00000000-0010-0000-0700-00002B000000}" name="2056-57" dataDxfId="1274"/>
    <tableColumn id="44" xr3:uid="{00000000-0010-0000-0700-00002C000000}" name="2057-58" dataDxfId="1273"/>
    <tableColumn id="45" xr3:uid="{00000000-0010-0000-0700-00002D000000}" name="2058-59" dataDxfId="1272"/>
    <tableColumn id="46" xr3:uid="{00000000-0010-0000-0700-00002E000000}" name="2059-60" dataDxfId="1271"/>
    <tableColumn id="47" xr3:uid="{00000000-0010-0000-0700-00002F000000}" name="2060-61" dataDxfId="1270"/>
    <tableColumn id="48" xr3:uid="{00000000-0010-0000-0700-000030000000}" name="2061-62" dataDxfId="1269"/>
    <tableColumn id="49" xr3:uid="{00000000-0010-0000-0700-000031000000}" name="2062-63" dataDxfId="1268"/>
    <tableColumn id="50" xr3:uid="{00000000-0010-0000-0700-000032000000}" name="2063-64" dataDxfId="1267"/>
    <tableColumn id="51" xr3:uid="{00000000-0010-0000-0700-000033000000}" name="2064-65" dataDxfId="1266"/>
    <tableColumn id="52" xr3:uid="{00000000-0010-0000-0700-000034000000}" name="2065-66" dataDxfId="1265"/>
    <tableColumn id="53" xr3:uid="{00000000-0010-0000-0700-000035000000}" name="2066-67" dataDxfId="1264"/>
    <tableColumn id="54" xr3:uid="{00000000-0010-0000-0700-000036000000}" name="2067-68" dataDxfId="1263"/>
    <tableColumn id="55" xr3:uid="{00000000-0010-0000-0700-000037000000}" name="2068-69" dataDxfId="1262"/>
    <tableColumn id="56" xr3:uid="{00000000-0010-0000-0700-000038000000}" name="2069-70" dataDxfId="1261"/>
    <tableColumn id="57" xr3:uid="{00000000-0010-0000-0700-000039000000}" name="2070-71" dataDxfId="1260"/>
    <tableColumn id="58" xr3:uid="{00000000-0010-0000-0700-00003A000000}" name="2071-72" dataDxfId="1259"/>
    <tableColumn id="59" xr3:uid="{00000000-0010-0000-0700-00003B000000}" name="2072-73" dataDxfId="1258"/>
    <tableColumn id="60" xr3:uid="{00000000-0010-0000-0700-00003C000000}" name="2073-74" dataDxfId="1257"/>
    <tableColumn id="61" xr3:uid="{00000000-0010-0000-0700-00003D000000}" name="2074-75" dataDxfId="1256"/>
    <tableColumn id="62" xr3:uid="{00000000-0010-0000-0700-00003E000000}" name="2075-76" dataDxfId="1255"/>
    <tableColumn id="63" xr3:uid="{00000000-0010-0000-0700-00003F000000}" name="2076-77" dataDxfId="1254"/>
    <tableColumn id="64" xr3:uid="{00000000-0010-0000-0700-000040000000}" name="2077-78" dataDxfId="1253"/>
    <tableColumn id="65" xr3:uid="{00000000-0010-0000-0700-000041000000}" name="2078-79" dataDxfId="1252"/>
    <tableColumn id="66" xr3:uid="{00000000-0010-0000-0700-000042000000}" name="2079-80" dataDxfId="1251"/>
    <tableColumn id="67" xr3:uid="{00000000-0010-0000-0700-000043000000}" name="2080-81" dataDxfId="1250"/>
    <tableColumn id="68" xr3:uid="{00000000-0010-0000-0700-000044000000}" name="2081-82" dataDxfId="1249"/>
    <tableColumn id="69" xr3:uid="{00000000-0010-0000-0700-000045000000}" name="2082-83" dataDxfId="1248"/>
    <tableColumn id="70" xr3:uid="{00000000-0010-0000-0700-000046000000}" name="2083-84" dataDxfId="1247"/>
    <tableColumn id="71" xr3:uid="{00000000-0010-0000-0700-000047000000}" name="2084-85" dataDxfId="1246"/>
    <tableColumn id="72" xr3:uid="{00000000-0010-0000-0700-000048000000}" name="2085-86" dataDxfId="1245"/>
    <tableColumn id="73" xr3:uid="{00000000-0010-0000-0700-000049000000}" name="2086-87" dataDxfId="1244"/>
    <tableColumn id="74" xr3:uid="{00000000-0010-0000-0700-00004A000000}" name="2087-88" dataDxfId="1243"/>
    <tableColumn id="75" xr3:uid="{00000000-0010-0000-0700-00004B000000}" name="2088-89" dataDxfId="1242"/>
    <tableColumn id="76" xr3:uid="{00000000-0010-0000-0700-00004C000000}" name="2089-90" dataDxfId="1241"/>
    <tableColumn id="77" xr3:uid="{00000000-0010-0000-0700-00004D000000}" name="2090-91" dataDxfId="1240"/>
    <tableColumn id="78" xr3:uid="{00000000-0010-0000-0700-00004E000000}" name="2091-92" dataDxfId="1239"/>
    <tableColumn id="79" xr3:uid="{00000000-0010-0000-0700-00004F000000}" name="2092-93" dataDxfId="1238"/>
    <tableColumn id="80" xr3:uid="{00000000-0010-0000-0700-000050000000}" name="2093-94" dataDxfId="1237"/>
    <tableColumn id="81" xr3:uid="{00000000-0010-0000-0700-000051000000}" name="2094-95" dataDxfId="1236"/>
    <tableColumn id="82" xr3:uid="{00000000-0010-0000-0700-000052000000}" name="2095-96" dataDxfId="1235"/>
    <tableColumn id="83" xr3:uid="{00000000-0010-0000-0700-000053000000}" name="2096-97" dataDxfId="1234"/>
    <tableColumn id="84" xr3:uid="{00000000-0010-0000-0700-000054000000}" name="2097-98" dataDxfId="1233"/>
    <tableColumn id="85" xr3:uid="{00000000-0010-0000-0700-000055000000}" name="2098-99" dataDxfId="1232"/>
    <tableColumn id="86" xr3:uid="{00000000-0010-0000-0700-000056000000}" name="2099-100" dataDxfId="1231"/>
    <tableColumn id="87" xr3:uid="{00000000-0010-0000-0700-000057000000}" name="2099-101" dataDxfId="1230"/>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BL3b_DYAAOpt_" displayName="TBL3b_DYAAOpt_" ref="B94:CO118" totalsRowShown="0" headerRowDxfId="1229" dataDxfId="1227" headerRowBorderDxfId="1228" tableBorderDxfId="1226" headerRowCellStyle="Normal 2 2 2" dataCellStyle="Normal 2 2 2">
  <autoFilter ref="B94:CO118" xr:uid="{00000000-0009-0000-0100-00000D000000}"/>
  <tableColumns count="92">
    <tableColumn id="1" xr3:uid="{00000000-0010-0000-0800-000001000000}" name="WRMP24 reference" dataDxfId="1225" dataCellStyle="Normal 2 2 2"/>
    <tableColumn id="2" xr3:uid="{00000000-0010-0000-0800-000002000000}" name="Option type" dataDxfId="1224" dataCellStyle="Normal 2 2 2"/>
    <tableColumn id="3" xr3:uid="{00000000-0010-0000-0800-000003000000}" name="Cat ID" dataDxfId="1223" dataCellStyle="Normal 2 2 2"/>
    <tableColumn id="4" xr3:uid="{00000000-0010-0000-0800-000004000000}" name="Unit" dataDxfId="1222" dataCellStyle="Normal 2 2 2"/>
    <tableColumn id="5" xr3:uid="{00000000-0010-0000-0800-000005000000}" name="Decimal places" dataDxfId="1221" dataCellStyle="Normal 2 2 2"/>
    <tableColumn id="6" xr3:uid="{00000000-0010-0000-0800-000006000000}" name="2019-20" dataDxfId="1220" dataCellStyle="Normal 2 2 2">
      <calculatedColumnFormula>TBL3b_DYAAOpt_[[#This Row],[2099-103]]</calculatedColumnFormula>
    </tableColumn>
    <tableColumn id="7" xr3:uid="{00000000-0010-0000-0800-000007000000}" name="2020-21" dataDxfId="1219" dataCellStyle="Normal 2 2 2"/>
    <tableColumn id="8" xr3:uid="{00000000-0010-0000-0800-000008000000}" name="2021-22" dataDxfId="1218" dataCellStyle="Normal 2 2 2"/>
    <tableColumn id="9" xr3:uid="{00000000-0010-0000-0800-000009000000}" name="2022-23" dataDxfId="1217" dataCellStyle="Normal 2 2 2"/>
    <tableColumn id="10" xr3:uid="{00000000-0010-0000-0800-00000A000000}" name="2023-24" dataDxfId="1216" dataCellStyle="Normal 2 2 2"/>
    <tableColumn id="11" xr3:uid="{00000000-0010-0000-0800-00000B000000}" name="2024-25" dataDxfId="1215" dataCellStyle="Normal 2 2 2"/>
    <tableColumn id="12" xr3:uid="{00000000-0010-0000-0800-00000C000000}" name="2025-26" dataDxfId="1214" dataCellStyle="Normal 2 2 2"/>
    <tableColumn id="13" xr3:uid="{00000000-0010-0000-0800-00000D000000}" name="2026-27" dataDxfId="1213" dataCellStyle="Normal 2 2 2"/>
    <tableColumn id="14" xr3:uid="{00000000-0010-0000-0800-00000E000000}" name="2027-28" dataDxfId="1212" dataCellStyle="Normal 2 2 2"/>
    <tableColumn id="15" xr3:uid="{00000000-0010-0000-0800-00000F000000}" name="2028-29" dataDxfId="1211" dataCellStyle="Normal 2 2 2"/>
    <tableColumn id="16" xr3:uid="{00000000-0010-0000-0800-000010000000}" name="2029-30" dataDxfId="1210" dataCellStyle="Normal 2 2 2"/>
    <tableColumn id="17" xr3:uid="{00000000-0010-0000-0800-000011000000}" name="2030-31" dataDxfId="1209" dataCellStyle="Normal 2 2 2"/>
    <tableColumn id="18" xr3:uid="{00000000-0010-0000-0800-000012000000}" name="2031-32" dataDxfId="1208" dataCellStyle="Normal 2 2 2"/>
    <tableColumn id="19" xr3:uid="{00000000-0010-0000-0800-000013000000}" name="2032-33" dataDxfId="1207" dataCellStyle="Normal 2 2 2"/>
    <tableColumn id="20" xr3:uid="{00000000-0010-0000-0800-000014000000}" name="2033-34" dataDxfId="1206" dataCellStyle="Normal 2 2 2"/>
    <tableColumn id="21" xr3:uid="{00000000-0010-0000-0800-000015000000}" name="2034-35" dataDxfId="1205" dataCellStyle="Normal 2 2 2"/>
    <tableColumn id="22" xr3:uid="{00000000-0010-0000-0800-000016000000}" name="2035-36" dataDxfId="1204" dataCellStyle="Normal 2 2 2"/>
    <tableColumn id="23" xr3:uid="{00000000-0010-0000-0800-000017000000}" name="2036-37" dataDxfId="1203" dataCellStyle="Normal 2 2 2"/>
    <tableColumn id="24" xr3:uid="{00000000-0010-0000-0800-000018000000}" name="2037-38" dataDxfId="1202" dataCellStyle="Normal 2 2 2"/>
    <tableColumn id="25" xr3:uid="{00000000-0010-0000-0800-000019000000}" name="2038-39" dataDxfId="1201" dataCellStyle="Normal 2 2 2"/>
    <tableColumn id="26" xr3:uid="{00000000-0010-0000-0800-00001A000000}" name="2039-40" dataDxfId="1200" dataCellStyle="Normal 2 2 2"/>
    <tableColumn id="27" xr3:uid="{00000000-0010-0000-0800-00001B000000}" name="2040-41" dataDxfId="1199" dataCellStyle="Normal 2 2 2"/>
    <tableColumn id="28" xr3:uid="{00000000-0010-0000-0800-00001C000000}" name="2041-42" dataDxfId="1198" dataCellStyle="Normal 2 2 2">
      <calculatedColumnFormula>TBL3b_DYAAOpt_[[#This Row],[2040-41]]</calculatedColumnFormula>
    </tableColumn>
    <tableColumn id="29" xr3:uid="{00000000-0010-0000-0800-00001D000000}" name="2042-43" dataDxfId="1197" dataCellStyle="Normal 2 2 2"/>
    <tableColumn id="30" xr3:uid="{00000000-0010-0000-0800-00001E000000}" name="2043-44" dataDxfId="1196" dataCellStyle="Normal 2 2 2"/>
    <tableColumn id="31" xr3:uid="{00000000-0010-0000-0800-00001F000000}" name="2044-45" dataDxfId="1195" dataCellStyle="Normal 2 2 2"/>
    <tableColumn id="32" xr3:uid="{00000000-0010-0000-0800-000020000000}" name="2045-46" dataDxfId="1194" dataCellStyle="Normal 2 2 2"/>
    <tableColumn id="33" xr3:uid="{00000000-0010-0000-0800-000021000000}" name="2046-47" dataDxfId="1193" dataCellStyle="Normal 2 2 2"/>
    <tableColumn id="34" xr3:uid="{00000000-0010-0000-0800-000022000000}" name="2047-48" dataDxfId="1192" dataCellStyle="Normal 2 2 2"/>
    <tableColumn id="35" xr3:uid="{00000000-0010-0000-0800-000023000000}" name="2048-49" dataDxfId="1191" dataCellStyle="Normal 2 2 2"/>
    <tableColumn id="36" xr3:uid="{00000000-0010-0000-0800-000024000000}" name="2049-50" dataDxfId="1190" dataCellStyle="Normal 2 2 2"/>
    <tableColumn id="37" xr3:uid="{00000000-0010-0000-0800-000025000000}" name="2050-51" dataDxfId="1189" dataCellStyle="Normal 2 2 2"/>
    <tableColumn id="38" xr3:uid="{00000000-0010-0000-0800-000026000000}" name="2051-52" dataDxfId="1188" dataCellStyle="Normal 2 2 2"/>
    <tableColumn id="39" xr3:uid="{00000000-0010-0000-0800-000027000000}" name="2052-53" dataDxfId="1187" dataCellStyle="Normal 2 2 2"/>
    <tableColumn id="40" xr3:uid="{00000000-0010-0000-0800-000028000000}" name="2053-54" dataDxfId="1186" dataCellStyle="Normal 2 2 2"/>
    <tableColumn id="41" xr3:uid="{00000000-0010-0000-0800-000029000000}" name="2054-55" dataDxfId="1185" dataCellStyle="Normal 2 2 2"/>
    <tableColumn id="42" xr3:uid="{00000000-0010-0000-0800-00002A000000}" name="2055-56" dataDxfId="1184" dataCellStyle="Normal 2 2 2"/>
    <tableColumn id="43" xr3:uid="{00000000-0010-0000-0800-00002B000000}" name="2056-57" dataDxfId="1183" dataCellStyle="Normal 2 2 2"/>
    <tableColumn id="44" xr3:uid="{00000000-0010-0000-0800-00002C000000}" name="2057-58" dataDxfId="1182" dataCellStyle="Normal 2 2 2"/>
    <tableColumn id="45" xr3:uid="{00000000-0010-0000-0800-00002D000000}" name="2058-59" dataDxfId="1181" dataCellStyle="Normal 2 2 2"/>
    <tableColumn id="46" xr3:uid="{00000000-0010-0000-0800-00002E000000}" name="2059-60" dataDxfId="1180" dataCellStyle="Normal 2 2 2"/>
    <tableColumn id="47" xr3:uid="{00000000-0010-0000-0800-00002F000000}" name="2060-61" dataDxfId="1179" dataCellStyle="Normal 2 2 2"/>
    <tableColumn id="48" xr3:uid="{00000000-0010-0000-0800-000030000000}" name="2061-62" dataDxfId="1178" dataCellStyle="Normal 2 2 2"/>
    <tableColumn id="49" xr3:uid="{00000000-0010-0000-0800-000031000000}" name="2062-63" dataDxfId="1177" dataCellStyle="Normal 2 2 2"/>
    <tableColumn id="50" xr3:uid="{00000000-0010-0000-0800-000032000000}" name="2063-64" dataDxfId="1176" dataCellStyle="Normal 2 2 2"/>
    <tableColumn id="51" xr3:uid="{00000000-0010-0000-0800-000033000000}" name="2064-65" dataDxfId="1175" dataCellStyle="Normal 2 2 2"/>
    <tableColumn id="52" xr3:uid="{00000000-0010-0000-0800-000034000000}" name="2065-66" dataDxfId="1174" dataCellStyle="Normal 2 2 2"/>
    <tableColumn id="53" xr3:uid="{00000000-0010-0000-0800-000035000000}" name="2066-67" dataDxfId="1173" dataCellStyle="Normal 2 2 2"/>
    <tableColumn id="54" xr3:uid="{00000000-0010-0000-0800-000036000000}" name="2067-68" dataDxfId="1172" dataCellStyle="Normal 2 2 2"/>
    <tableColumn id="55" xr3:uid="{00000000-0010-0000-0800-000037000000}" name="2068-69" dataDxfId="1171" dataCellStyle="Normal 2 2 2"/>
    <tableColumn id="56" xr3:uid="{00000000-0010-0000-0800-000038000000}" name="2069-70" dataDxfId="1170" dataCellStyle="Normal 2 2 2"/>
    <tableColumn id="57" xr3:uid="{00000000-0010-0000-0800-000039000000}" name="2070-71" dataDxfId="1169" dataCellStyle="Normal 2 2 2"/>
    <tableColumn id="58" xr3:uid="{00000000-0010-0000-0800-00003A000000}" name="2071-72" dataDxfId="1168" dataCellStyle="Normal 2 2 2"/>
    <tableColumn id="59" xr3:uid="{00000000-0010-0000-0800-00003B000000}" name="2072-73" dataDxfId="1167" dataCellStyle="Normal 2 2 2"/>
    <tableColumn id="60" xr3:uid="{00000000-0010-0000-0800-00003C000000}" name="2073-74" dataDxfId="1166" dataCellStyle="Normal 2 2 2"/>
    <tableColumn id="61" xr3:uid="{00000000-0010-0000-0800-00003D000000}" name="2074-75" dataDxfId="1165" dataCellStyle="Normal 2 2 2"/>
    <tableColumn id="62" xr3:uid="{00000000-0010-0000-0800-00003E000000}" name="2075-76" dataDxfId="1164" dataCellStyle="Normal 2 2 2"/>
    <tableColumn id="63" xr3:uid="{00000000-0010-0000-0800-00003F000000}" name="2076-77" dataDxfId="1163" dataCellStyle="Normal 2 2 2"/>
    <tableColumn id="64" xr3:uid="{00000000-0010-0000-0800-000040000000}" name="2077-78" dataDxfId="1162" dataCellStyle="Normal 2 2 2"/>
    <tableColumn id="65" xr3:uid="{00000000-0010-0000-0800-000041000000}" name="2078-79" dataDxfId="1161" dataCellStyle="Normal 2 2 2"/>
    <tableColumn id="66" xr3:uid="{00000000-0010-0000-0800-000042000000}" name="2079-80" dataDxfId="1160" dataCellStyle="Normal 2 2 2"/>
    <tableColumn id="67" xr3:uid="{00000000-0010-0000-0800-000043000000}" name="2080-81" dataDxfId="1159" dataCellStyle="Normal 2 2 2"/>
    <tableColumn id="68" xr3:uid="{00000000-0010-0000-0800-000044000000}" name="2081-82" dataDxfId="1158" dataCellStyle="Normal 2 2 2"/>
    <tableColumn id="69" xr3:uid="{00000000-0010-0000-0800-000045000000}" name="2082-83" dataDxfId="1157" dataCellStyle="Normal 2 2 2"/>
    <tableColumn id="70" xr3:uid="{00000000-0010-0000-0800-000046000000}" name="2083-84" dataDxfId="1156" dataCellStyle="Normal 2 2 2"/>
    <tableColumn id="71" xr3:uid="{00000000-0010-0000-0800-000047000000}" name="2084-85" dataDxfId="1155" dataCellStyle="Normal 2 2 2"/>
    <tableColumn id="72" xr3:uid="{00000000-0010-0000-0800-000048000000}" name="2085-86" dataDxfId="1154" dataCellStyle="Normal 2 2 2"/>
    <tableColumn id="73" xr3:uid="{00000000-0010-0000-0800-000049000000}" name="2086-87" dataDxfId="1153" dataCellStyle="Normal 2 2 2"/>
    <tableColumn id="74" xr3:uid="{00000000-0010-0000-0800-00004A000000}" name="2087-88" dataDxfId="1152" dataCellStyle="Normal 2 2 2"/>
    <tableColumn id="75" xr3:uid="{00000000-0010-0000-0800-00004B000000}" name="2088-89" dataDxfId="1151" dataCellStyle="Normal 2 2 2"/>
    <tableColumn id="76" xr3:uid="{00000000-0010-0000-0800-00004C000000}" name="2089-90" dataDxfId="1150" dataCellStyle="Normal 2 2 2"/>
    <tableColumn id="77" xr3:uid="{00000000-0010-0000-0800-00004D000000}" name="2090-91" dataDxfId="1149" dataCellStyle="Normal 2 2 2"/>
    <tableColumn id="78" xr3:uid="{00000000-0010-0000-0800-00004E000000}" name="2091-92" dataDxfId="1148" dataCellStyle="Normal 2 2 2"/>
    <tableColumn id="79" xr3:uid="{00000000-0010-0000-0800-00004F000000}" name="2092-93" dataDxfId="1147" dataCellStyle="Normal 2 2 2"/>
    <tableColumn id="80" xr3:uid="{00000000-0010-0000-0800-000050000000}" name="2093-94" dataDxfId="1146" dataCellStyle="Normal 2 2 2"/>
    <tableColumn id="81" xr3:uid="{00000000-0010-0000-0800-000051000000}" name="2094-95" dataDxfId="1145" dataCellStyle="Normal 2 2 2"/>
    <tableColumn id="82" xr3:uid="{00000000-0010-0000-0800-000052000000}" name="2095-96" dataDxfId="1144" dataCellStyle="Normal 2 2 2"/>
    <tableColumn id="83" xr3:uid="{00000000-0010-0000-0800-000053000000}" name="2096-97" dataDxfId="1143" dataCellStyle="Normal 2 2 2"/>
    <tableColumn id="84" xr3:uid="{00000000-0010-0000-0800-000054000000}" name="2097-98" dataDxfId="1142" dataCellStyle="Normal 2 2 2"/>
    <tableColumn id="85" xr3:uid="{00000000-0010-0000-0800-000055000000}" name="2098-99" dataDxfId="1141" dataCellStyle="Normal 2 2 2"/>
    <tableColumn id="86" xr3:uid="{00000000-0010-0000-0800-000056000000}" name="2099-100" dataDxfId="1140" dataCellStyle="Normal 2 2 2"/>
    <tableColumn id="87" xr3:uid="{00000000-0010-0000-0800-000057000000}" name="2099-101" dataDxfId="1139" dataCellStyle="Normal 2 2 2"/>
    <tableColumn id="88" xr3:uid="{00000000-0010-0000-0800-000058000000}" name="2099-102" dataDxfId="1138" dataCellStyle="Normal 2 2 2"/>
    <tableColumn id="89" xr3:uid="{00000000-0010-0000-0800-000059000000}" name="2099-103" dataDxfId="1137" dataCellStyle="Normal 2 2 2"/>
    <tableColumn id="90" xr3:uid="{00000000-0010-0000-0800-00005A000000}" name="2099-104" dataDxfId="1136" dataCellStyle="Normal 2 2 2"/>
    <tableColumn id="91" xr3:uid="{00000000-0010-0000-0800-00005B000000}" name="2099-105" dataDxfId="1135" dataCellStyle="Normal 2 2 2"/>
    <tableColumn id="92" xr3:uid="{00000000-0010-0000-0800-00005C000000}" name="2099-106" dataDxfId="1134" dataCellStyle="Normal 2 2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TBL3c_DYAAFP_" displayName="TBL3c_DYAAFP_" ref="B121:CS181" totalsRowShown="0" headerRowDxfId="1133" dataDxfId="1132" tableBorderDxfId="1131" headerRowCellStyle="Normal 2 2 2" dataCellStyle="Normal 2 2 2">
  <autoFilter ref="B121:CS181" xr:uid="{00000000-0009-0000-0100-00000E000000}"/>
  <tableColumns count="96">
    <tableColumn id="1" xr3:uid="{00000000-0010-0000-0900-000001000000}" name="WRMP24 reference" dataDxfId="1130" dataCellStyle="Normal 2 2 2"/>
    <tableColumn id="2" xr3:uid="{00000000-0010-0000-0900-000002000000}" name="Component" dataDxfId="1129" dataCellStyle="Normal 2 2 2"/>
    <tableColumn id="3" xr3:uid="{00000000-0010-0000-0900-000003000000}" name="Derivation" dataDxfId="1128" dataCellStyle="Normal 2 2 2"/>
    <tableColumn id="4" xr3:uid="{00000000-0010-0000-0900-000004000000}" name="Unit" dataDxfId="1127" dataCellStyle="Normal 2 2 2"/>
    <tableColumn id="5" xr3:uid="{00000000-0010-0000-0900-000005000000}" name="Decimal places" dataDxfId="1126" dataCellStyle="Normal 2 2 2"/>
    <tableColumn id="6" xr3:uid="{00000000-0010-0000-0900-000006000000}" name="2019-20" dataDxfId="1125" dataCellStyle="Normal 2 2 2"/>
    <tableColumn id="7" xr3:uid="{00000000-0010-0000-0900-000007000000}" name="2020-21" dataDxfId="1124" dataCellStyle="Normal 2 2 2"/>
    <tableColumn id="8" xr3:uid="{00000000-0010-0000-0900-000008000000}" name="2021-22" dataDxfId="1123" dataCellStyle="Normal 2 2 2"/>
    <tableColumn id="9" xr3:uid="{00000000-0010-0000-0900-000009000000}" name="2022-23" dataDxfId="1122" dataCellStyle="Normal 2 2 2"/>
    <tableColumn id="10" xr3:uid="{00000000-0010-0000-0900-00000A000000}" name="2023-24" dataDxfId="1121" dataCellStyle="Normal 2 2 2"/>
    <tableColumn id="11" xr3:uid="{00000000-0010-0000-0900-00000B000000}" name="2024-25" dataDxfId="1120" dataCellStyle="Normal 2 2 2"/>
    <tableColumn id="12" xr3:uid="{00000000-0010-0000-0900-00000C000000}" name="2025-26" dataDxfId="1119" dataCellStyle="Normal 2 2 2"/>
    <tableColumn id="13" xr3:uid="{00000000-0010-0000-0900-00000D000000}" name="2026-27" dataDxfId="1118" dataCellStyle="Normal 2 2 2"/>
    <tableColumn id="14" xr3:uid="{00000000-0010-0000-0900-00000E000000}" name="2027-28" dataDxfId="1117" dataCellStyle="Normal 2 2 2"/>
    <tableColumn id="15" xr3:uid="{00000000-0010-0000-0900-00000F000000}" name="2028-29" dataDxfId="1116" dataCellStyle="Normal 2 2 2"/>
    <tableColumn id="16" xr3:uid="{00000000-0010-0000-0900-000010000000}" name="2029-30" dataDxfId="1115" dataCellStyle="Normal 2 2 2"/>
    <tableColumn id="17" xr3:uid="{00000000-0010-0000-0900-000011000000}" name="2030-31" dataDxfId="1114" dataCellStyle="Normal 2 2 2"/>
    <tableColumn id="18" xr3:uid="{00000000-0010-0000-0900-000012000000}" name="2031-32" dataDxfId="1113" dataCellStyle="Normal 2 2 2"/>
    <tableColumn id="19" xr3:uid="{00000000-0010-0000-0900-000013000000}" name="2032-33" dataDxfId="1112" dataCellStyle="Normal 2 2 2"/>
    <tableColumn id="20" xr3:uid="{00000000-0010-0000-0900-000014000000}" name="2033-34" dataDxfId="1111" dataCellStyle="Normal 2 2 2"/>
    <tableColumn id="21" xr3:uid="{00000000-0010-0000-0900-000015000000}" name="2034-35" dataDxfId="1110" dataCellStyle="Normal 2 2 2"/>
    <tableColumn id="22" xr3:uid="{00000000-0010-0000-0900-000016000000}" name="2035-36" dataDxfId="1109" dataCellStyle="Normal 2 2 2"/>
    <tableColumn id="23" xr3:uid="{00000000-0010-0000-0900-000017000000}" name="2036-37" dataDxfId="1108" dataCellStyle="Normal 2 2 2"/>
    <tableColumn id="24" xr3:uid="{00000000-0010-0000-0900-000018000000}" name="2037-38" dataDxfId="1107" dataCellStyle="Normal 2 2 2"/>
    <tableColumn id="25" xr3:uid="{00000000-0010-0000-0900-000019000000}" name="2038-39" dataDxfId="1106" dataCellStyle="Normal 2 2 2"/>
    <tableColumn id="26" xr3:uid="{00000000-0010-0000-0900-00001A000000}" name="2039-40" dataDxfId="1105" dataCellStyle="Normal 2 2 2"/>
    <tableColumn id="27" xr3:uid="{00000000-0010-0000-0900-00001B000000}" name="2040-41" dataDxfId="1104" dataCellStyle="Normal 2 2 2"/>
    <tableColumn id="28" xr3:uid="{00000000-0010-0000-0900-00001C000000}" name="2041-42" dataDxfId="1103" dataCellStyle="Normal 2 2 2"/>
    <tableColumn id="29" xr3:uid="{00000000-0010-0000-0900-00001D000000}" name="2042-43" dataDxfId="1102" dataCellStyle="Normal 2 2 2"/>
    <tableColumn id="30" xr3:uid="{00000000-0010-0000-0900-00001E000000}" name="2043-44" dataDxfId="1101" dataCellStyle="Normal 2 2 2"/>
    <tableColumn id="31" xr3:uid="{00000000-0010-0000-0900-00001F000000}" name="2044-45" dataDxfId="1100" dataCellStyle="Normal 2 2 2"/>
    <tableColumn id="32" xr3:uid="{00000000-0010-0000-0900-000020000000}" name="2045-46" dataDxfId="1099" dataCellStyle="Normal 2 2 2"/>
    <tableColumn id="33" xr3:uid="{00000000-0010-0000-0900-000021000000}" name="2046-47" dataDxfId="1098" dataCellStyle="Normal 2 2 2"/>
    <tableColumn id="34" xr3:uid="{00000000-0010-0000-0900-000022000000}" name="2047-48" dataDxfId="1097" dataCellStyle="Normal 2 2 2"/>
    <tableColumn id="35" xr3:uid="{00000000-0010-0000-0900-000023000000}" name="2048-49" dataDxfId="1096" dataCellStyle="Normal 2 2 2"/>
    <tableColumn id="36" xr3:uid="{00000000-0010-0000-0900-000024000000}" name="2049-50" dataDxfId="1095" dataCellStyle="Normal 2 2 2"/>
    <tableColumn id="37" xr3:uid="{00000000-0010-0000-0900-000025000000}" name="2050-51" dataDxfId="1094" dataCellStyle="Normal 2 2 2"/>
    <tableColumn id="38" xr3:uid="{00000000-0010-0000-0900-000026000000}" name="2051-52" dataDxfId="1093" dataCellStyle="Normal 2 2 2"/>
    <tableColumn id="39" xr3:uid="{00000000-0010-0000-0900-000027000000}" name="2052-53" dataDxfId="1092" dataCellStyle="Normal 2 2 2"/>
    <tableColumn id="40" xr3:uid="{00000000-0010-0000-0900-000028000000}" name="2053-54" dataDxfId="1091" dataCellStyle="Normal 2 2 2"/>
    <tableColumn id="41" xr3:uid="{00000000-0010-0000-0900-000029000000}" name="2054-55" dataDxfId="1090" dataCellStyle="Normal 2 2 2"/>
    <tableColumn id="42" xr3:uid="{00000000-0010-0000-0900-00002A000000}" name="2055-56" dataDxfId="1089" dataCellStyle="Normal 2 2 2"/>
    <tableColumn id="43" xr3:uid="{00000000-0010-0000-0900-00002B000000}" name="2056-57" dataDxfId="1088" dataCellStyle="Normal 2 2 2"/>
    <tableColumn id="44" xr3:uid="{00000000-0010-0000-0900-00002C000000}" name="2057-58" dataDxfId="1087" dataCellStyle="Normal 2 2 2"/>
    <tableColumn id="45" xr3:uid="{00000000-0010-0000-0900-00002D000000}" name="2058-59" dataDxfId="1086" dataCellStyle="Normal 2 2 2"/>
    <tableColumn id="46" xr3:uid="{00000000-0010-0000-0900-00002E000000}" name="2059-60" dataDxfId="1085" dataCellStyle="Normal 2 2 2"/>
    <tableColumn id="47" xr3:uid="{00000000-0010-0000-0900-00002F000000}" name="2060-61" dataDxfId="1084" dataCellStyle="Normal 2 2 2"/>
    <tableColumn id="48" xr3:uid="{00000000-0010-0000-0900-000030000000}" name="2061-62" dataDxfId="1083" dataCellStyle="Normal 2 2 2"/>
    <tableColumn id="49" xr3:uid="{00000000-0010-0000-0900-000031000000}" name="2062-63" dataDxfId="1082" dataCellStyle="Normal 2 2 2"/>
    <tableColumn id="50" xr3:uid="{00000000-0010-0000-0900-000032000000}" name="2063-64" dataDxfId="1081" dataCellStyle="Normal 2 2 2"/>
    <tableColumn id="51" xr3:uid="{00000000-0010-0000-0900-000033000000}" name="2064-65" dataDxfId="1080" dataCellStyle="Normal 2 2 2"/>
    <tableColumn id="52" xr3:uid="{00000000-0010-0000-0900-000034000000}" name="2065-66" dataDxfId="1079" dataCellStyle="Normal 2 2 2"/>
    <tableColumn id="53" xr3:uid="{00000000-0010-0000-0900-000035000000}" name="2066-67" dataDxfId="1078" dataCellStyle="Normal 2 2 2"/>
    <tableColumn id="54" xr3:uid="{00000000-0010-0000-0900-000036000000}" name="2067-68" dataDxfId="1077" dataCellStyle="Normal 2 2 2"/>
    <tableColumn id="55" xr3:uid="{00000000-0010-0000-0900-000037000000}" name="2068-69" dataDxfId="1076" dataCellStyle="Normal 2 2 2"/>
    <tableColumn id="56" xr3:uid="{00000000-0010-0000-0900-000038000000}" name="2069-70" dataDxfId="1075" dataCellStyle="Normal 2 2 2"/>
    <tableColumn id="57" xr3:uid="{00000000-0010-0000-0900-000039000000}" name="2070-71" dataDxfId="1074" dataCellStyle="Normal 2 2 2"/>
    <tableColumn id="58" xr3:uid="{00000000-0010-0000-0900-00003A000000}" name="2071-72" dataDxfId="1073" dataCellStyle="Normal 2 2 2"/>
    <tableColumn id="59" xr3:uid="{00000000-0010-0000-0900-00003B000000}" name="2072-73" dataDxfId="1072" dataCellStyle="Normal 2 2 2"/>
    <tableColumn id="60" xr3:uid="{00000000-0010-0000-0900-00003C000000}" name="2073-74" dataDxfId="1071" dataCellStyle="Normal 2 2 2"/>
    <tableColumn id="61" xr3:uid="{00000000-0010-0000-0900-00003D000000}" name="2074-75" dataDxfId="1070" dataCellStyle="Normal 2 2 2"/>
    <tableColumn id="62" xr3:uid="{00000000-0010-0000-0900-00003E000000}" name="2075-76" dataDxfId="1069" dataCellStyle="Normal 2 2 2"/>
    <tableColumn id="63" xr3:uid="{00000000-0010-0000-0900-00003F000000}" name="2076-77" dataDxfId="1068" dataCellStyle="Normal 2 2 2"/>
    <tableColumn id="64" xr3:uid="{00000000-0010-0000-0900-000040000000}" name="2077-78" dataDxfId="1067" dataCellStyle="Normal 2 2 2"/>
    <tableColumn id="65" xr3:uid="{00000000-0010-0000-0900-000041000000}" name="2078-79" dataDxfId="1066" dataCellStyle="Normal 2 2 2"/>
    <tableColumn id="66" xr3:uid="{00000000-0010-0000-0900-000042000000}" name="2079-80" dataDxfId="1065" dataCellStyle="Normal 2 2 2"/>
    <tableColumn id="67" xr3:uid="{00000000-0010-0000-0900-000043000000}" name="2080-81" dataDxfId="1064" dataCellStyle="Normal 2 2 2"/>
    <tableColumn id="68" xr3:uid="{00000000-0010-0000-0900-000044000000}" name="2081-82" dataDxfId="1063" dataCellStyle="Normal 2 2 2"/>
    <tableColumn id="69" xr3:uid="{00000000-0010-0000-0900-000045000000}" name="2082-83" dataDxfId="1062" dataCellStyle="Normal 2 2 2"/>
    <tableColumn id="70" xr3:uid="{00000000-0010-0000-0900-000046000000}" name="2083-84" dataDxfId="1061" dataCellStyle="Normal 2 2 2"/>
    <tableColumn id="71" xr3:uid="{00000000-0010-0000-0900-000047000000}" name="2084-85" dataDxfId="1060" dataCellStyle="Normal 2 2 2"/>
    <tableColumn id="72" xr3:uid="{00000000-0010-0000-0900-000048000000}" name="2085-86" dataDxfId="1059" dataCellStyle="Normal 2 2 2"/>
    <tableColumn id="73" xr3:uid="{00000000-0010-0000-0900-000049000000}" name="2086-87" dataDxfId="1058" dataCellStyle="Normal 2 2 2"/>
    <tableColumn id="74" xr3:uid="{00000000-0010-0000-0900-00004A000000}" name="2087-88" dataDxfId="1057" dataCellStyle="Normal 2 2 2"/>
    <tableColumn id="75" xr3:uid="{00000000-0010-0000-0900-00004B000000}" name="2088-89" dataDxfId="1056" dataCellStyle="Normal 2 2 2"/>
    <tableColumn id="76" xr3:uid="{00000000-0010-0000-0900-00004C000000}" name="2089-90" dataDxfId="1055" dataCellStyle="Normal 2 2 2"/>
    <tableColumn id="77" xr3:uid="{00000000-0010-0000-0900-00004D000000}" name="2090-91" dataDxfId="1054" dataCellStyle="Normal 2 2 2"/>
    <tableColumn id="78" xr3:uid="{00000000-0010-0000-0900-00004E000000}" name="2091-92" dataDxfId="1053" dataCellStyle="Normal 2 2 2"/>
    <tableColumn id="79" xr3:uid="{00000000-0010-0000-0900-00004F000000}" name="2092-93" dataDxfId="1052" dataCellStyle="Normal 2 2 2"/>
    <tableColumn id="80" xr3:uid="{00000000-0010-0000-0900-000050000000}" name="2093-94" dataDxfId="1051" dataCellStyle="Normal 2 2 2"/>
    <tableColumn id="81" xr3:uid="{00000000-0010-0000-0900-000051000000}" name="2094-95" dataDxfId="1050" dataCellStyle="Normal 2 2 2"/>
    <tableColumn id="82" xr3:uid="{00000000-0010-0000-0900-000052000000}" name="2095-96" dataDxfId="1049" dataCellStyle="Normal 2 2 2"/>
    <tableColumn id="83" xr3:uid="{00000000-0010-0000-0900-000053000000}" name="2096-97" dataDxfId="1048" dataCellStyle="Normal 2 2 2"/>
    <tableColumn id="84" xr3:uid="{00000000-0010-0000-0900-000054000000}" name="2097-98" dataDxfId="1047" dataCellStyle="Normal 2 2 2"/>
    <tableColumn id="85" xr3:uid="{00000000-0010-0000-0900-000055000000}" name="2098-99" dataDxfId="1046" dataCellStyle="Normal 2 2 2"/>
    <tableColumn id="86" xr3:uid="{00000000-0010-0000-0900-000056000000}" name="2099-100" dataDxfId="1045" dataCellStyle="Normal 2 2 2"/>
    <tableColumn id="87" xr3:uid="{00000000-0010-0000-0900-000057000000}" name="2099-101" dataDxfId="1044" dataCellStyle="Normal 2 2 2"/>
    <tableColumn id="88" xr3:uid="{00000000-0010-0000-0900-000058000000}" name="2099-102" dataDxfId="1043" dataCellStyle="Normal 2 2 2"/>
    <tableColumn id="89" xr3:uid="{00000000-0010-0000-0900-000059000000}" name="2099-103" dataDxfId="1042" dataCellStyle="Normal 2 2 2"/>
    <tableColumn id="90" xr3:uid="{00000000-0010-0000-0900-00005A000000}" name="2099-104" dataDxfId="1041" dataCellStyle="Normal 2 2 2"/>
    <tableColumn id="91" xr3:uid="{00000000-0010-0000-0900-00005B000000}" name="2099-105" dataDxfId="1040" dataCellStyle="Normal 2 2 2"/>
    <tableColumn id="92" xr3:uid="{00000000-0010-0000-0900-00005C000000}" name="2099-106" dataDxfId="1039" dataCellStyle="Normal 2 2 2"/>
    <tableColumn id="93" xr3:uid="{00000000-0010-0000-0900-00005D000000}" name="2099-107" dataDxfId="1038" dataCellStyle="Normal 2 2 2"/>
    <tableColumn id="94" xr3:uid="{00000000-0010-0000-0900-00005E000000}" name="2099-108" dataDxfId="1037" dataCellStyle="Normal 2 2 2"/>
    <tableColumn id="95" xr3:uid="{00000000-0010-0000-0900-00005F000000}" name="2099-109" dataDxfId="1036" dataCellStyle="Normal 2 2 2"/>
    <tableColumn id="96" xr3:uid="{00000000-0010-0000-0900-000060000000}" name="2099-110" dataDxfId="1035" dataCellStyle="Normal 2 2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BL3d_DYCPBL_" displayName="TBL3d_DYCPBL_" ref="B204:CJ272" totalsRowShown="0" headerRowDxfId="1034" dataDxfId="1033" tableBorderDxfId="1032" headerRowCellStyle="Normal 2 2 2">
  <autoFilter ref="B204:CJ272" xr:uid="{00000000-0009-0000-0100-00000F000000}"/>
  <tableColumns count="87">
    <tableColumn id="1" xr3:uid="{00000000-0010-0000-0A00-000001000000}" name="WRMP24 reference" dataDxfId="1031" dataCellStyle="Normal 2 2 2"/>
    <tableColumn id="2" xr3:uid="{00000000-0010-0000-0A00-000002000000}" name="Component" dataDxfId="1030" dataCellStyle="Normal 2 2 2"/>
    <tableColumn id="3" xr3:uid="{00000000-0010-0000-0A00-000003000000}" name="Derivation" dataDxfId="1029" dataCellStyle="Normal 2 2 2"/>
    <tableColumn id="4" xr3:uid="{00000000-0010-0000-0A00-000004000000}" name="Unit" dataDxfId="1028" dataCellStyle="Normal 2 2 2"/>
    <tableColumn id="5" xr3:uid="{00000000-0010-0000-0A00-000005000000}" name="Decimal places" dataDxfId="1027" dataCellStyle="Normal 2 2 2"/>
    <tableColumn id="6" xr3:uid="{00000000-0010-0000-0A00-000006000000}" name="2019-20" dataDxfId="1026"/>
    <tableColumn id="7" xr3:uid="{00000000-0010-0000-0A00-000007000000}" name="2020-21" dataDxfId="1025"/>
    <tableColumn id="8" xr3:uid="{00000000-0010-0000-0A00-000008000000}" name="2021-22" dataDxfId="1024"/>
    <tableColumn id="9" xr3:uid="{00000000-0010-0000-0A00-000009000000}" name="2022-23" dataDxfId="1023"/>
    <tableColumn id="10" xr3:uid="{00000000-0010-0000-0A00-00000A000000}" name="2023-24" dataDxfId="1022"/>
    <tableColumn id="11" xr3:uid="{00000000-0010-0000-0A00-00000B000000}" name="2024-25" dataDxfId="1021"/>
    <tableColumn id="12" xr3:uid="{00000000-0010-0000-0A00-00000C000000}" name="2025-26" dataDxfId="1020"/>
    <tableColumn id="13" xr3:uid="{00000000-0010-0000-0A00-00000D000000}" name="2026-27" dataDxfId="1019"/>
    <tableColumn id="14" xr3:uid="{00000000-0010-0000-0A00-00000E000000}" name="2027-28" dataDxfId="1018"/>
    <tableColumn id="15" xr3:uid="{00000000-0010-0000-0A00-00000F000000}" name="2028-29" dataDxfId="1017"/>
    <tableColumn id="16" xr3:uid="{00000000-0010-0000-0A00-000010000000}" name="2029-30" dataDxfId="1016"/>
    <tableColumn id="17" xr3:uid="{00000000-0010-0000-0A00-000011000000}" name="2030-31" dataDxfId="1015"/>
    <tableColumn id="18" xr3:uid="{00000000-0010-0000-0A00-000012000000}" name="2031-32" dataDxfId="1014"/>
    <tableColumn id="19" xr3:uid="{00000000-0010-0000-0A00-000013000000}" name="2032-33" dataDxfId="1013"/>
    <tableColumn id="20" xr3:uid="{00000000-0010-0000-0A00-000014000000}" name="2033-34" dataDxfId="1012"/>
    <tableColumn id="21" xr3:uid="{00000000-0010-0000-0A00-000015000000}" name="2034-35" dataDxfId="1011"/>
    <tableColumn id="22" xr3:uid="{00000000-0010-0000-0A00-000016000000}" name="2035-36" dataDxfId="1010"/>
    <tableColumn id="23" xr3:uid="{00000000-0010-0000-0A00-000017000000}" name="2036-37" dataDxfId="1009"/>
    <tableColumn id="24" xr3:uid="{00000000-0010-0000-0A00-000018000000}" name="2037-38" dataDxfId="1008"/>
    <tableColumn id="25" xr3:uid="{00000000-0010-0000-0A00-000019000000}" name="2038-39" dataDxfId="1007"/>
    <tableColumn id="26" xr3:uid="{00000000-0010-0000-0A00-00001A000000}" name="2039-40" dataDxfId="1006"/>
    <tableColumn id="27" xr3:uid="{00000000-0010-0000-0A00-00001B000000}" name="2040-41" dataDxfId="1005"/>
    <tableColumn id="28" xr3:uid="{00000000-0010-0000-0A00-00001C000000}" name="2041-42" dataDxfId="1004"/>
    <tableColumn id="29" xr3:uid="{00000000-0010-0000-0A00-00001D000000}" name="2042-43" dataDxfId="1003"/>
    <tableColumn id="30" xr3:uid="{00000000-0010-0000-0A00-00001E000000}" name="2043-44" dataDxfId="1002"/>
    <tableColumn id="31" xr3:uid="{00000000-0010-0000-0A00-00001F000000}" name="2044-45" dataDxfId="1001"/>
    <tableColumn id="32" xr3:uid="{00000000-0010-0000-0A00-000020000000}" name="2045-46" dataDxfId="1000"/>
    <tableColumn id="33" xr3:uid="{00000000-0010-0000-0A00-000021000000}" name="2046-47" dataDxfId="999"/>
    <tableColumn id="34" xr3:uid="{00000000-0010-0000-0A00-000022000000}" name="2047-48" dataDxfId="998"/>
    <tableColumn id="35" xr3:uid="{00000000-0010-0000-0A00-000023000000}" name="2048-49" dataDxfId="997"/>
    <tableColumn id="36" xr3:uid="{00000000-0010-0000-0A00-000024000000}" name="2049-50" dataDxfId="996"/>
    <tableColumn id="37" xr3:uid="{00000000-0010-0000-0A00-000025000000}" name="2050-51" dataDxfId="995"/>
    <tableColumn id="38" xr3:uid="{00000000-0010-0000-0A00-000026000000}" name="2051-52" dataDxfId="994"/>
    <tableColumn id="39" xr3:uid="{00000000-0010-0000-0A00-000027000000}" name="2052-53" dataDxfId="993"/>
    <tableColumn id="40" xr3:uid="{00000000-0010-0000-0A00-000028000000}" name="2053-54" dataDxfId="992"/>
    <tableColumn id="41" xr3:uid="{00000000-0010-0000-0A00-000029000000}" name="2054-55" dataDxfId="991"/>
    <tableColumn id="42" xr3:uid="{00000000-0010-0000-0A00-00002A000000}" name="2055-56" dataDxfId="990"/>
    <tableColumn id="43" xr3:uid="{00000000-0010-0000-0A00-00002B000000}" name="2056-57" dataDxfId="989"/>
    <tableColumn id="44" xr3:uid="{00000000-0010-0000-0A00-00002C000000}" name="2057-58" dataDxfId="988"/>
    <tableColumn id="45" xr3:uid="{00000000-0010-0000-0A00-00002D000000}" name="2058-59" dataDxfId="987"/>
    <tableColumn id="46" xr3:uid="{00000000-0010-0000-0A00-00002E000000}" name="2059-60" dataDxfId="986"/>
    <tableColumn id="47" xr3:uid="{00000000-0010-0000-0A00-00002F000000}" name="2060-61" dataDxfId="985"/>
    <tableColumn id="48" xr3:uid="{00000000-0010-0000-0A00-000030000000}" name="2061-62" dataDxfId="984"/>
    <tableColumn id="49" xr3:uid="{00000000-0010-0000-0A00-000031000000}" name="2062-63" dataDxfId="983"/>
    <tableColumn id="50" xr3:uid="{00000000-0010-0000-0A00-000032000000}" name="2063-64" dataDxfId="982"/>
    <tableColumn id="51" xr3:uid="{00000000-0010-0000-0A00-000033000000}" name="2064-65" dataDxfId="981"/>
    <tableColumn id="52" xr3:uid="{00000000-0010-0000-0A00-000034000000}" name="2065-66" dataDxfId="980"/>
    <tableColumn id="53" xr3:uid="{00000000-0010-0000-0A00-000035000000}" name="2066-67" dataDxfId="979"/>
    <tableColumn id="54" xr3:uid="{00000000-0010-0000-0A00-000036000000}" name="2067-68" dataDxfId="978"/>
    <tableColumn id="55" xr3:uid="{00000000-0010-0000-0A00-000037000000}" name="2068-69" dataDxfId="977"/>
    <tableColumn id="56" xr3:uid="{00000000-0010-0000-0A00-000038000000}" name="2069-70" dataDxfId="976"/>
    <tableColumn id="57" xr3:uid="{00000000-0010-0000-0A00-000039000000}" name="2070-71" dataDxfId="975"/>
    <tableColumn id="58" xr3:uid="{00000000-0010-0000-0A00-00003A000000}" name="2071-72" dataDxfId="974"/>
    <tableColumn id="59" xr3:uid="{00000000-0010-0000-0A00-00003B000000}" name="2072-73" dataDxfId="973"/>
    <tableColumn id="60" xr3:uid="{00000000-0010-0000-0A00-00003C000000}" name="2073-74" dataDxfId="972"/>
    <tableColumn id="61" xr3:uid="{00000000-0010-0000-0A00-00003D000000}" name="2074-75" dataDxfId="971"/>
    <tableColumn id="62" xr3:uid="{00000000-0010-0000-0A00-00003E000000}" name="2075-76" dataDxfId="970"/>
    <tableColumn id="63" xr3:uid="{00000000-0010-0000-0A00-00003F000000}" name="2076-77" dataDxfId="969"/>
    <tableColumn id="64" xr3:uid="{00000000-0010-0000-0A00-000040000000}" name="2077-78" dataDxfId="968"/>
    <tableColumn id="65" xr3:uid="{00000000-0010-0000-0A00-000041000000}" name="2078-79" dataDxfId="967"/>
    <tableColumn id="66" xr3:uid="{00000000-0010-0000-0A00-000042000000}" name="2079-80" dataDxfId="966"/>
    <tableColumn id="67" xr3:uid="{00000000-0010-0000-0A00-000043000000}" name="2080-81" dataDxfId="965"/>
    <tableColumn id="68" xr3:uid="{00000000-0010-0000-0A00-000044000000}" name="2081-82" dataDxfId="964"/>
    <tableColumn id="69" xr3:uid="{00000000-0010-0000-0A00-000045000000}" name="2082-83" dataDxfId="963"/>
    <tableColumn id="70" xr3:uid="{00000000-0010-0000-0A00-000046000000}" name="2083-84" dataDxfId="962"/>
    <tableColumn id="71" xr3:uid="{00000000-0010-0000-0A00-000047000000}" name="2084-85" dataDxfId="961"/>
    <tableColumn id="72" xr3:uid="{00000000-0010-0000-0A00-000048000000}" name="2085-86" dataDxfId="960"/>
    <tableColumn id="73" xr3:uid="{00000000-0010-0000-0A00-000049000000}" name="2086-87" dataDxfId="959"/>
    <tableColumn id="74" xr3:uid="{00000000-0010-0000-0A00-00004A000000}" name="2087-88" dataDxfId="958"/>
    <tableColumn id="75" xr3:uid="{00000000-0010-0000-0A00-00004B000000}" name="2088-89" dataDxfId="957"/>
    <tableColumn id="76" xr3:uid="{00000000-0010-0000-0A00-00004C000000}" name="2089-90" dataDxfId="956"/>
    <tableColumn id="77" xr3:uid="{00000000-0010-0000-0A00-00004D000000}" name="2090-91" dataDxfId="955"/>
    <tableColumn id="78" xr3:uid="{00000000-0010-0000-0A00-00004E000000}" name="2091-92" dataDxfId="954"/>
    <tableColumn id="79" xr3:uid="{00000000-0010-0000-0A00-00004F000000}" name="2092-93" dataDxfId="953"/>
    <tableColumn id="80" xr3:uid="{00000000-0010-0000-0A00-000050000000}" name="2093-94" dataDxfId="952"/>
    <tableColumn id="81" xr3:uid="{00000000-0010-0000-0A00-000051000000}" name="2094-95" dataDxfId="951"/>
    <tableColumn id="82" xr3:uid="{00000000-0010-0000-0A00-000052000000}" name="2095-96" dataDxfId="950"/>
    <tableColumn id="83" xr3:uid="{00000000-0010-0000-0A00-000053000000}" name="2096-97" dataDxfId="949"/>
    <tableColumn id="84" xr3:uid="{00000000-0010-0000-0A00-000054000000}" name="2097-98" dataDxfId="948"/>
    <tableColumn id="85" xr3:uid="{00000000-0010-0000-0A00-000055000000}" name="2098-99" dataDxfId="947"/>
    <tableColumn id="86" xr3:uid="{00000000-0010-0000-0A00-000056000000}" name="2099-100" dataDxfId="946"/>
    <tableColumn id="87" xr3:uid="{00000000-0010-0000-0A00-000057000000}" name="2099-101" dataDxfId="945"/>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BL3e_DYCPOpt_" displayName="TBL3e_DYCPOpt_" ref="B275:CI299" totalsRowShown="0" headerRowDxfId="944" dataDxfId="942" headerRowBorderDxfId="943" tableBorderDxfId="941" headerRowCellStyle="Normal 2 2 2" dataCellStyle="Normal 2 2 2">
  <autoFilter ref="B275:CI299" xr:uid="{00000000-0009-0000-0100-000010000000}"/>
  <tableColumns count="86">
    <tableColumn id="1" xr3:uid="{00000000-0010-0000-0B00-000001000000}" name="WRMP24 reference" dataDxfId="940" dataCellStyle="Normal 2 2 2"/>
    <tableColumn id="2" xr3:uid="{00000000-0010-0000-0B00-000002000000}" name="Option type" dataDxfId="939" dataCellStyle="Normal 2 2 2"/>
    <tableColumn id="3" xr3:uid="{00000000-0010-0000-0B00-000003000000}" name="Cat ID" dataDxfId="938" dataCellStyle="Normal 2 2 2"/>
    <tableColumn id="4" xr3:uid="{00000000-0010-0000-0B00-000004000000}" name="Unit" dataDxfId="937" dataCellStyle="Normal 2 2 2"/>
    <tableColumn id="5" xr3:uid="{00000000-0010-0000-0B00-000005000000}" name="Decimal places" dataDxfId="936" dataCellStyle="Normal 2 2 2"/>
    <tableColumn id="6" xr3:uid="{00000000-0010-0000-0B00-000006000000}" name="2019-20" dataDxfId="935" dataCellStyle="Normal 2 2 2"/>
    <tableColumn id="7" xr3:uid="{00000000-0010-0000-0B00-000007000000}" name="2020-21" dataDxfId="934" dataCellStyle="Normal 2 2 2"/>
    <tableColumn id="8" xr3:uid="{00000000-0010-0000-0B00-000008000000}" name="2021-22" dataDxfId="933" dataCellStyle="Normal 2 2 2"/>
    <tableColumn id="9" xr3:uid="{00000000-0010-0000-0B00-000009000000}" name="2022-23" dataDxfId="932" dataCellStyle="Normal 2 2 2"/>
    <tableColumn id="10" xr3:uid="{00000000-0010-0000-0B00-00000A000000}" name="2023-24" dataDxfId="931" dataCellStyle="Normal 2 2 2"/>
    <tableColumn id="11" xr3:uid="{00000000-0010-0000-0B00-00000B000000}" name="2024-25" dataDxfId="930" dataCellStyle="Normal 2 2 2"/>
    <tableColumn id="12" xr3:uid="{00000000-0010-0000-0B00-00000C000000}" name="2025-26" dataDxfId="929" dataCellStyle="Normal 2 2 2"/>
    <tableColumn id="13" xr3:uid="{00000000-0010-0000-0B00-00000D000000}" name="2026-27" dataDxfId="928" dataCellStyle="Normal 2 2 2"/>
    <tableColumn id="14" xr3:uid="{00000000-0010-0000-0B00-00000E000000}" name="2027-28" dataDxfId="927" dataCellStyle="Normal 2 2 2"/>
    <tableColumn id="15" xr3:uid="{00000000-0010-0000-0B00-00000F000000}" name="2028-29" dataDxfId="926" dataCellStyle="Normal 2 2 2"/>
    <tableColumn id="16" xr3:uid="{00000000-0010-0000-0B00-000010000000}" name="2029-30" dataDxfId="925" dataCellStyle="Normal 2 2 2"/>
    <tableColumn id="17" xr3:uid="{00000000-0010-0000-0B00-000011000000}" name="2030-31" dataDxfId="924" dataCellStyle="Normal 2 2 2"/>
    <tableColumn id="18" xr3:uid="{00000000-0010-0000-0B00-000012000000}" name="2031-32" dataDxfId="923" dataCellStyle="Normal 2 2 2"/>
    <tableColumn id="19" xr3:uid="{00000000-0010-0000-0B00-000013000000}" name="2032-33" dataDxfId="922" dataCellStyle="Normal 2 2 2"/>
    <tableColumn id="20" xr3:uid="{00000000-0010-0000-0B00-000014000000}" name="2033-34" dataDxfId="921" dataCellStyle="Normal 2 2 2"/>
    <tableColumn id="21" xr3:uid="{00000000-0010-0000-0B00-000015000000}" name="2034-35" dataDxfId="920" dataCellStyle="Normal 2 2 2"/>
    <tableColumn id="22" xr3:uid="{00000000-0010-0000-0B00-000016000000}" name="2035-36" dataDxfId="919" dataCellStyle="Normal 2 2 2"/>
    <tableColumn id="23" xr3:uid="{00000000-0010-0000-0B00-000017000000}" name="2036-37" dataDxfId="918" dataCellStyle="Normal 2 2 2"/>
    <tableColumn id="24" xr3:uid="{00000000-0010-0000-0B00-000018000000}" name="2037-38" dataDxfId="917" dataCellStyle="Normal 2 2 2"/>
    <tableColumn id="25" xr3:uid="{00000000-0010-0000-0B00-000019000000}" name="2038-39" dataDxfId="916" dataCellStyle="Normal 2 2 2"/>
    <tableColumn id="26" xr3:uid="{00000000-0010-0000-0B00-00001A000000}" name="2039-40" dataDxfId="915" dataCellStyle="Normal 2 2 2"/>
    <tableColumn id="27" xr3:uid="{00000000-0010-0000-0B00-00001B000000}" name="2040-41" dataDxfId="914" dataCellStyle="Normal 2 2 2"/>
    <tableColumn id="28" xr3:uid="{00000000-0010-0000-0B00-00001C000000}" name="2041-42" dataDxfId="913" dataCellStyle="Normal 2 2 2"/>
    <tableColumn id="29" xr3:uid="{00000000-0010-0000-0B00-00001D000000}" name="2042-43" dataDxfId="912" dataCellStyle="Normal 2 2 2"/>
    <tableColumn id="30" xr3:uid="{00000000-0010-0000-0B00-00001E000000}" name="2043-44" dataDxfId="911" dataCellStyle="Normal 2 2 2"/>
    <tableColumn id="31" xr3:uid="{00000000-0010-0000-0B00-00001F000000}" name="2044-45" dataDxfId="910" dataCellStyle="Normal 2 2 2"/>
    <tableColumn id="32" xr3:uid="{00000000-0010-0000-0B00-000020000000}" name="2045-46" dataDxfId="909" dataCellStyle="Normal 2 2 2"/>
    <tableColumn id="33" xr3:uid="{00000000-0010-0000-0B00-000021000000}" name="2046-47" dataDxfId="908" dataCellStyle="Normal 2 2 2"/>
    <tableColumn id="34" xr3:uid="{00000000-0010-0000-0B00-000022000000}" name="2047-48" dataDxfId="907" dataCellStyle="Normal 2 2 2"/>
    <tableColumn id="35" xr3:uid="{00000000-0010-0000-0B00-000023000000}" name="2048-49" dataDxfId="906" dataCellStyle="Normal 2 2 2"/>
    <tableColumn id="36" xr3:uid="{00000000-0010-0000-0B00-000024000000}" name="2049-50" dataDxfId="905" dataCellStyle="Normal 2 2 2"/>
    <tableColumn id="37" xr3:uid="{00000000-0010-0000-0B00-000025000000}" name="2050-51" dataDxfId="904" dataCellStyle="Normal 2 2 2"/>
    <tableColumn id="38" xr3:uid="{00000000-0010-0000-0B00-000026000000}" name="2051-52" dataDxfId="903" dataCellStyle="Normal 2 2 2"/>
    <tableColumn id="39" xr3:uid="{00000000-0010-0000-0B00-000027000000}" name="2052-53" dataDxfId="902" dataCellStyle="Normal 2 2 2"/>
    <tableColumn id="40" xr3:uid="{00000000-0010-0000-0B00-000028000000}" name="2053-54" dataDxfId="901" dataCellStyle="Normal 2 2 2"/>
    <tableColumn id="41" xr3:uid="{00000000-0010-0000-0B00-000029000000}" name="2054-55" dataDxfId="900" dataCellStyle="Normal 2 2 2"/>
    <tableColumn id="42" xr3:uid="{00000000-0010-0000-0B00-00002A000000}" name="2055-56" dataDxfId="899" dataCellStyle="Normal 2 2 2"/>
    <tableColumn id="43" xr3:uid="{00000000-0010-0000-0B00-00002B000000}" name="2056-57" dataDxfId="898" dataCellStyle="Normal 2 2 2"/>
    <tableColumn id="44" xr3:uid="{00000000-0010-0000-0B00-00002C000000}" name="2057-58" dataDxfId="897" dataCellStyle="Normal 2 2 2"/>
    <tableColumn id="45" xr3:uid="{00000000-0010-0000-0B00-00002D000000}" name="2058-59" dataDxfId="896" dataCellStyle="Normal 2 2 2"/>
    <tableColumn id="46" xr3:uid="{00000000-0010-0000-0B00-00002E000000}" name="2059-60" dataDxfId="895" dataCellStyle="Normal 2 2 2"/>
    <tableColumn id="47" xr3:uid="{00000000-0010-0000-0B00-00002F000000}" name="2060-61" dataDxfId="894" dataCellStyle="Normal 2 2 2"/>
    <tableColumn id="48" xr3:uid="{00000000-0010-0000-0B00-000030000000}" name="2061-62" dataDxfId="893" dataCellStyle="Normal 2 2 2"/>
    <tableColumn id="49" xr3:uid="{00000000-0010-0000-0B00-000031000000}" name="2062-63" dataDxfId="892" dataCellStyle="Normal 2 2 2"/>
    <tableColumn id="50" xr3:uid="{00000000-0010-0000-0B00-000032000000}" name="2063-64" dataDxfId="891" dataCellStyle="Normal 2 2 2"/>
    <tableColumn id="51" xr3:uid="{00000000-0010-0000-0B00-000033000000}" name="2064-65" dataDxfId="890" dataCellStyle="Normal 2 2 2"/>
    <tableColumn id="52" xr3:uid="{00000000-0010-0000-0B00-000034000000}" name="2065-66" dataDxfId="889" dataCellStyle="Normal 2 2 2"/>
    <tableColumn id="53" xr3:uid="{00000000-0010-0000-0B00-000035000000}" name="2066-67" dataDxfId="888" dataCellStyle="Normal 2 2 2"/>
    <tableColumn id="54" xr3:uid="{00000000-0010-0000-0B00-000036000000}" name="2067-68" dataDxfId="887" dataCellStyle="Normal 2 2 2"/>
    <tableColumn id="55" xr3:uid="{00000000-0010-0000-0B00-000037000000}" name="2068-69" dataDxfId="886" dataCellStyle="Normal 2 2 2"/>
    <tableColumn id="56" xr3:uid="{00000000-0010-0000-0B00-000038000000}" name="2069-70" dataDxfId="885" dataCellStyle="Normal 2 2 2"/>
    <tableColumn id="57" xr3:uid="{00000000-0010-0000-0B00-000039000000}" name="2070-71" dataDxfId="884" dataCellStyle="Normal 2 2 2"/>
    <tableColumn id="58" xr3:uid="{00000000-0010-0000-0B00-00003A000000}" name="2071-72" dataDxfId="883" dataCellStyle="Normal 2 2 2"/>
    <tableColumn id="59" xr3:uid="{00000000-0010-0000-0B00-00003B000000}" name="2072-73" dataDxfId="882" dataCellStyle="Normal 2 2 2"/>
    <tableColumn id="60" xr3:uid="{00000000-0010-0000-0B00-00003C000000}" name="2073-74" dataDxfId="881" dataCellStyle="Normal 2 2 2"/>
    <tableColumn id="61" xr3:uid="{00000000-0010-0000-0B00-00003D000000}" name="2074-75" dataDxfId="880" dataCellStyle="Normal 2 2 2"/>
    <tableColumn id="62" xr3:uid="{00000000-0010-0000-0B00-00003E000000}" name="2075-76" dataDxfId="879" dataCellStyle="Normal 2 2 2"/>
    <tableColumn id="63" xr3:uid="{00000000-0010-0000-0B00-00003F000000}" name="2076-77" dataDxfId="878" dataCellStyle="Normal 2 2 2"/>
    <tableColumn id="64" xr3:uid="{00000000-0010-0000-0B00-000040000000}" name="2077-78" dataDxfId="877" dataCellStyle="Normal 2 2 2"/>
    <tableColumn id="65" xr3:uid="{00000000-0010-0000-0B00-000041000000}" name="2078-79" dataDxfId="876" dataCellStyle="Normal 2 2 2"/>
    <tableColumn id="66" xr3:uid="{00000000-0010-0000-0B00-000042000000}" name="2079-80" dataDxfId="875" dataCellStyle="Normal 2 2 2"/>
    <tableColumn id="67" xr3:uid="{00000000-0010-0000-0B00-000043000000}" name="2080-81" dataDxfId="874" dataCellStyle="Normal 2 2 2"/>
    <tableColumn id="68" xr3:uid="{00000000-0010-0000-0B00-000044000000}" name="2081-82" dataDxfId="873" dataCellStyle="Normal 2 2 2"/>
    <tableColumn id="69" xr3:uid="{00000000-0010-0000-0B00-000045000000}" name="2082-83" dataDxfId="872" dataCellStyle="Normal 2 2 2"/>
    <tableColumn id="70" xr3:uid="{00000000-0010-0000-0B00-000046000000}" name="2083-84" dataDxfId="871" dataCellStyle="Normal 2 2 2"/>
    <tableColumn id="71" xr3:uid="{00000000-0010-0000-0B00-000047000000}" name="2084-85" dataDxfId="870" dataCellStyle="Normal 2 2 2"/>
    <tableColumn id="72" xr3:uid="{00000000-0010-0000-0B00-000048000000}" name="2085-86" dataDxfId="869" dataCellStyle="Normal 2 2 2"/>
    <tableColumn id="73" xr3:uid="{00000000-0010-0000-0B00-000049000000}" name="2086-87" dataDxfId="868" dataCellStyle="Normal 2 2 2"/>
    <tableColumn id="74" xr3:uid="{00000000-0010-0000-0B00-00004A000000}" name="2087-88" dataDxfId="867" dataCellStyle="Normal 2 2 2"/>
    <tableColumn id="75" xr3:uid="{00000000-0010-0000-0B00-00004B000000}" name="2088-89" dataDxfId="866" dataCellStyle="Normal 2 2 2"/>
    <tableColumn id="76" xr3:uid="{00000000-0010-0000-0B00-00004C000000}" name="2089-90" dataDxfId="865" dataCellStyle="Normal 2 2 2"/>
    <tableColumn id="77" xr3:uid="{00000000-0010-0000-0B00-00004D000000}" name="2090-91" dataDxfId="864" dataCellStyle="Normal 2 2 2"/>
    <tableColumn id="78" xr3:uid="{00000000-0010-0000-0B00-00004E000000}" name="2091-92" dataDxfId="863" dataCellStyle="Normal 2 2 2"/>
    <tableColumn id="79" xr3:uid="{00000000-0010-0000-0B00-00004F000000}" name="2092-93" dataDxfId="862" dataCellStyle="Normal 2 2 2"/>
    <tableColumn id="80" xr3:uid="{00000000-0010-0000-0B00-000050000000}" name="2093-94" dataDxfId="861" dataCellStyle="Normal 2 2 2"/>
    <tableColumn id="81" xr3:uid="{00000000-0010-0000-0B00-000051000000}" name="2094-95" dataDxfId="860" dataCellStyle="Normal 2 2 2"/>
    <tableColumn id="82" xr3:uid="{00000000-0010-0000-0B00-000052000000}" name="2095-96" dataDxfId="859" dataCellStyle="Normal 2 2 2"/>
    <tableColumn id="83" xr3:uid="{00000000-0010-0000-0B00-000053000000}" name="2096-97" dataDxfId="858" dataCellStyle="Normal 2 2 2"/>
    <tableColumn id="84" xr3:uid="{00000000-0010-0000-0B00-000054000000}" name="2097-98" dataDxfId="857" dataCellStyle="Normal 2 2 2"/>
    <tableColumn id="85" xr3:uid="{00000000-0010-0000-0B00-000055000000}" name="2098-99" dataDxfId="856" dataCellStyle="Normal 2 2 2"/>
    <tableColumn id="86" xr3:uid="{00000000-0010-0000-0B00-000056000000}" name="2099-100" dataDxfId="855" dataCellStyle="Normal 2 2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TBL3f_DYCPFP_" displayName="TBL3f_DYCPFP_" ref="B302:CJ362" totalsRowShown="0" headerRowDxfId="854" dataDxfId="853" tableBorderDxfId="852" headerRowCellStyle="Normal 2 2 2" dataCellStyle="Normal 2 2 2">
  <autoFilter ref="B302:CJ362" xr:uid="{00000000-0009-0000-0100-000011000000}"/>
  <tableColumns count="87">
    <tableColumn id="1" xr3:uid="{00000000-0010-0000-0C00-000001000000}" name="WRMP24 reference" dataDxfId="851" dataCellStyle="Normal 2 2 2"/>
    <tableColumn id="2" xr3:uid="{00000000-0010-0000-0C00-000002000000}" name="Component" dataDxfId="850" dataCellStyle="Normal 2 2 2"/>
    <tableColumn id="3" xr3:uid="{00000000-0010-0000-0C00-000003000000}" name="Derivation" dataDxfId="849" dataCellStyle="Normal 2 2 2"/>
    <tableColumn id="4" xr3:uid="{00000000-0010-0000-0C00-000004000000}" name="Unit" dataDxfId="848" dataCellStyle="Normal 2 2 2"/>
    <tableColumn id="5" xr3:uid="{00000000-0010-0000-0C00-000005000000}" name="Decimal places" dataDxfId="847" dataCellStyle="Normal 2 2 2"/>
    <tableColumn id="6" xr3:uid="{00000000-0010-0000-0C00-000006000000}" name="2019-20" dataDxfId="846" dataCellStyle="Normal 2 2 2"/>
    <tableColumn id="7" xr3:uid="{00000000-0010-0000-0C00-000007000000}" name="2020-21" dataDxfId="845" dataCellStyle="Normal 2 2 2"/>
    <tableColumn id="8" xr3:uid="{00000000-0010-0000-0C00-000008000000}" name="2021-22" dataDxfId="844" dataCellStyle="Normal 2 2 2"/>
    <tableColumn id="9" xr3:uid="{00000000-0010-0000-0C00-000009000000}" name="2022-23" dataDxfId="843" dataCellStyle="Normal 2 2 2"/>
    <tableColumn id="10" xr3:uid="{00000000-0010-0000-0C00-00000A000000}" name="2023-24" dataDxfId="842" dataCellStyle="Normal 2 2 2"/>
    <tableColumn id="11" xr3:uid="{00000000-0010-0000-0C00-00000B000000}" name="2024-25" dataDxfId="841" dataCellStyle="Normal 2 2 2"/>
    <tableColumn id="12" xr3:uid="{00000000-0010-0000-0C00-00000C000000}" name="2025-26" dataDxfId="840" dataCellStyle="Normal 2 2 2"/>
    <tableColumn id="13" xr3:uid="{00000000-0010-0000-0C00-00000D000000}" name="2026-27" dataDxfId="839" dataCellStyle="Normal 2 2 2"/>
    <tableColumn id="14" xr3:uid="{00000000-0010-0000-0C00-00000E000000}" name="2027-28" dataDxfId="838" dataCellStyle="Normal 2 2 2"/>
    <tableColumn id="15" xr3:uid="{00000000-0010-0000-0C00-00000F000000}" name="2028-29" dataDxfId="837" dataCellStyle="Normal 2 2 2"/>
    <tableColumn id="16" xr3:uid="{00000000-0010-0000-0C00-000010000000}" name="2029-30" dataDxfId="836" dataCellStyle="Normal 2 2 2"/>
    <tableColumn id="17" xr3:uid="{00000000-0010-0000-0C00-000011000000}" name="2030-31" dataDxfId="835" dataCellStyle="Normal 2 2 2"/>
    <tableColumn id="18" xr3:uid="{00000000-0010-0000-0C00-000012000000}" name="2031-32" dataDxfId="834" dataCellStyle="Normal 2 2 2"/>
    <tableColumn id="19" xr3:uid="{00000000-0010-0000-0C00-000013000000}" name="2032-33" dataDxfId="833" dataCellStyle="Normal 2 2 2"/>
    <tableColumn id="20" xr3:uid="{00000000-0010-0000-0C00-000014000000}" name="2033-34" dataDxfId="832" dataCellStyle="Normal 2 2 2"/>
    <tableColumn id="21" xr3:uid="{00000000-0010-0000-0C00-000015000000}" name="2034-35" dataDxfId="831" dataCellStyle="Normal 2 2 2"/>
    <tableColumn id="22" xr3:uid="{00000000-0010-0000-0C00-000016000000}" name="2035-36" dataDxfId="830" dataCellStyle="Normal 2 2 2"/>
    <tableColumn id="23" xr3:uid="{00000000-0010-0000-0C00-000017000000}" name="2036-37" dataDxfId="829" dataCellStyle="Normal 2 2 2"/>
    <tableColumn id="24" xr3:uid="{00000000-0010-0000-0C00-000018000000}" name="2037-38" dataDxfId="828" dataCellStyle="Normal 2 2 2"/>
    <tableColumn id="25" xr3:uid="{00000000-0010-0000-0C00-000019000000}" name="2038-39" dataDxfId="827" dataCellStyle="Normal 2 2 2"/>
    <tableColumn id="26" xr3:uid="{00000000-0010-0000-0C00-00001A000000}" name="2039-40" dataDxfId="826" dataCellStyle="Normal 2 2 2"/>
    <tableColumn id="27" xr3:uid="{00000000-0010-0000-0C00-00001B000000}" name="2040-41" dataDxfId="825" dataCellStyle="Normal 2 2 2"/>
    <tableColumn id="28" xr3:uid="{00000000-0010-0000-0C00-00001C000000}" name="2041-42" dataDxfId="824" dataCellStyle="Normal 2 2 2"/>
    <tableColumn id="29" xr3:uid="{00000000-0010-0000-0C00-00001D000000}" name="2042-43" dataDxfId="823" dataCellStyle="Normal 2 2 2"/>
    <tableColumn id="30" xr3:uid="{00000000-0010-0000-0C00-00001E000000}" name="2043-44" dataDxfId="822" dataCellStyle="Normal 2 2 2"/>
    <tableColumn id="31" xr3:uid="{00000000-0010-0000-0C00-00001F000000}" name="2044-45" dataDxfId="821" dataCellStyle="Normal 2 2 2"/>
    <tableColumn id="32" xr3:uid="{00000000-0010-0000-0C00-000020000000}" name="2045-46" dataDxfId="820" dataCellStyle="Normal 2 2 2"/>
    <tableColumn id="33" xr3:uid="{00000000-0010-0000-0C00-000021000000}" name="2046-47" dataDxfId="819" dataCellStyle="Normal 2 2 2"/>
    <tableColumn id="34" xr3:uid="{00000000-0010-0000-0C00-000022000000}" name="2047-48" dataDxfId="818" dataCellStyle="Normal 2 2 2"/>
    <tableColumn id="35" xr3:uid="{00000000-0010-0000-0C00-000023000000}" name="2048-49" dataDxfId="817" dataCellStyle="Normal 2 2 2"/>
    <tableColumn id="36" xr3:uid="{00000000-0010-0000-0C00-000024000000}" name="2049-50" dataDxfId="816" dataCellStyle="Normal 2 2 2"/>
    <tableColumn id="37" xr3:uid="{00000000-0010-0000-0C00-000025000000}" name="2050-51" dataDxfId="815" dataCellStyle="Normal 2 2 2"/>
    <tableColumn id="38" xr3:uid="{00000000-0010-0000-0C00-000026000000}" name="2051-52" dataDxfId="814" dataCellStyle="Normal 2 2 2"/>
    <tableColumn id="39" xr3:uid="{00000000-0010-0000-0C00-000027000000}" name="2052-53" dataDxfId="813" dataCellStyle="Normal 2 2 2"/>
    <tableColumn id="40" xr3:uid="{00000000-0010-0000-0C00-000028000000}" name="2053-54" dataDxfId="812" dataCellStyle="Normal 2 2 2"/>
    <tableColumn id="41" xr3:uid="{00000000-0010-0000-0C00-000029000000}" name="2054-55" dataDxfId="811" dataCellStyle="Normal 2 2 2"/>
    <tableColumn id="42" xr3:uid="{00000000-0010-0000-0C00-00002A000000}" name="2055-56" dataDxfId="810" dataCellStyle="Normal 2 2 2"/>
    <tableColumn id="43" xr3:uid="{00000000-0010-0000-0C00-00002B000000}" name="2056-57" dataDxfId="809" dataCellStyle="Normal 2 2 2"/>
    <tableColumn id="44" xr3:uid="{00000000-0010-0000-0C00-00002C000000}" name="2057-58" dataDxfId="808" dataCellStyle="Normal 2 2 2"/>
    <tableColumn id="45" xr3:uid="{00000000-0010-0000-0C00-00002D000000}" name="2058-59" dataDxfId="807" dataCellStyle="Normal 2 2 2"/>
    <tableColumn id="46" xr3:uid="{00000000-0010-0000-0C00-00002E000000}" name="2059-60" dataDxfId="806" dataCellStyle="Normal 2 2 2"/>
    <tableColumn id="47" xr3:uid="{00000000-0010-0000-0C00-00002F000000}" name="2060-61" dataDxfId="805" dataCellStyle="Normal 2 2 2"/>
    <tableColumn id="48" xr3:uid="{00000000-0010-0000-0C00-000030000000}" name="2061-62" dataDxfId="804" dataCellStyle="Normal 2 2 2"/>
    <tableColumn id="49" xr3:uid="{00000000-0010-0000-0C00-000031000000}" name="2062-63" dataDxfId="803" dataCellStyle="Normal 2 2 2"/>
    <tableColumn id="50" xr3:uid="{00000000-0010-0000-0C00-000032000000}" name="2063-64" dataDxfId="802" dataCellStyle="Normal 2 2 2"/>
    <tableColumn id="51" xr3:uid="{00000000-0010-0000-0C00-000033000000}" name="2064-65" dataDxfId="801" dataCellStyle="Normal 2 2 2"/>
    <tableColumn id="52" xr3:uid="{00000000-0010-0000-0C00-000034000000}" name="2065-66" dataDxfId="800" dataCellStyle="Normal 2 2 2"/>
    <tableColumn id="53" xr3:uid="{00000000-0010-0000-0C00-000035000000}" name="2066-67" dataDxfId="799" dataCellStyle="Normal 2 2 2"/>
    <tableColumn id="54" xr3:uid="{00000000-0010-0000-0C00-000036000000}" name="2067-68" dataDxfId="798" dataCellStyle="Normal 2 2 2"/>
    <tableColumn id="55" xr3:uid="{00000000-0010-0000-0C00-000037000000}" name="2068-69" dataDxfId="797" dataCellStyle="Normal 2 2 2"/>
    <tableColumn id="56" xr3:uid="{00000000-0010-0000-0C00-000038000000}" name="2069-70" dataDxfId="796" dataCellStyle="Normal 2 2 2"/>
    <tableColumn id="57" xr3:uid="{00000000-0010-0000-0C00-000039000000}" name="2070-71" dataDxfId="795" dataCellStyle="Normal 2 2 2"/>
    <tableColumn id="58" xr3:uid="{00000000-0010-0000-0C00-00003A000000}" name="2071-72" dataDxfId="794" dataCellStyle="Normal 2 2 2"/>
    <tableColumn id="59" xr3:uid="{00000000-0010-0000-0C00-00003B000000}" name="2072-73" dataDxfId="793" dataCellStyle="Normal 2 2 2"/>
    <tableColumn id="60" xr3:uid="{00000000-0010-0000-0C00-00003C000000}" name="2073-74" dataDxfId="792" dataCellStyle="Normal 2 2 2"/>
    <tableColumn id="61" xr3:uid="{00000000-0010-0000-0C00-00003D000000}" name="2074-75" dataDxfId="791" dataCellStyle="Normal 2 2 2"/>
    <tableColumn id="62" xr3:uid="{00000000-0010-0000-0C00-00003E000000}" name="2075-76" dataDxfId="790" dataCellStyle="Normal 2 2 2"/>
    <tableColumn id="63" xr3:uid="{00000000-0010-0000-0C00-00003F000000}" name="2076-77" dataDxfId="789" dataCellStyle="Normal 2 2 2"/>
    <tableColumn id="64" xr3:uid="{00000000-0010-0000-0C00-000040000000}" name="2077-78" dataDxfId="788" dataCellStyle="Normal 2 2 2"/>
    <tableColumn id="65" xr3:uid="{00000000-0010-0000-0C00-000041000000}" name="2078-79" dataDxfId="787" dataCellStyle="Normal 2 2 2"/>
    <tableColumn id="66" xr3:uid="{00000000-0010-0000-0C00-000042000000}" name="2079-80" dataDxfId="786" dataCellStyle="Normal 2 2 2"/>
    <tableColumn id="67" xr3:uid="{00000000-0010-0000-0C00-000043000000}" name="2080-81" dataDxfId="785" dataCellStyle="Normal 2 2 2"/>
    <tableColumn id="68" xr3:uid="{00000000-0010-0000-0C00-000044000000}" name="2081-82" dataDxfId="784" dataCellStyle="Normal 2 2 2"/>
    <tableColumn id="69" xr3:uid="{00000000-0010-0000-0C00-000045000000}" name="2082-83" dataDxfId="783" dataCellStyle="Normal 2 2 2"/>
    <tableColumn id="70" xr3:uid="{00000000-0010-0000-0C00-000046000000}" name="2083-84" dataDxfId="782" dataCellStyle="Normal 2 2 2"/>
    <tableColumn id="71" xr3:uid="{00000000-0010-0000-0C00-000047000000}" name="2084-85" dataDxfId="781" dataCellStyle="Normal 2 2 2"/>
    <tableColumn id="72" xr3:uid="{00000000-0010-0000-0C00-000048000000}" name="2085-86" dataDxfId="780" dataCellStyle="Normal 2 2 2"/>
    <tableColumn id="73" xr3:uid="{00000000-0010-0000-0C00-000049000000}" name="2086-87" dataDxfId="779" dataCellStyle="Normal 2 2 2"/>
    <tableColumn id="74" xr3:uid="{00000000-0010-0000-0C00-00004A000000}" name="2087-88" dataDxfId="778" dataCellStyle="Normal 2 2 2"/>
    <tableColumn id="75" xr3:uid="{00000000-0010-0000-0C00-00004B000000}" name="2088-89" dataDxfId="777" dataCellStyle="Normal 2 2 2"/>
    <tableColumn id="76" xr3:uid="{00000000-0010-0000-0C00-00004C000000}" name="2089-90" dataDxfId="776" dataCellStyle="Normal 2 2 2"/>
    <tableColumn id="77" xr3:uid="{00000000-0010-0000-0C00-00004D000000}" name="2090-91" dataDxfId="775" dataCellStyle="Normal 2 2 2"/>
    <tableColumn id="78" xr3:uid="{00000000-0010-0000-0C00-00004E000000}" name="2091-92" dataDxfId="774" dataCellStyle="Normal 2 2 2"/>
    <tableColumn id="79" xr3:uid="{00000000-0010-0000-0C00-00004F000000}" name="2092-93" dataDxfId="773" dataCellStyle="Normal 2 2 2"/>
    <tableColumn id="80" xr3:uid="{00000000-0010-0000-0C00-000050000000}" name="2093-94" dataDxfId="772" dataCellStyle="Normal 2 2 2"/>
    <tableColumn id="81" xr3:uid="{00000000-0010-0000-0C00-000051000000}" name="2094-95" dataDxfId="771" dataCellStyle="Normal 2 2 2"/>
    <tableColumn id="82" xr3:uid="{00000000-0010-0000-0C00-000052000000}" name="2095-96" dataDxfId="770" dataCellStyle="Normal 2 2 2"/>
    <tableColumn id="83" xr3:uid="{00000000-0010-0000-0C00-000053000000}" name="2096-97" dataDxfId="769" dataCellStyle="Normal 2 2 2"/>
    <tableColumn id="84" xr3:uid="{00000000-0010-0000-0C00-000054000000}" name="2097-98" dataDxfId="768" dataCellStyle="Normal 2 2 2"/>
    <tableColumn id="85" xr3:uid="{00000000-0010-0000-0C00-000055000000}" name="2098-99" dataDxfId="767" dataCellStyle="Normal 2 2 2"/>
    <tableColumn id="86" xr3:uid="{00000000-0010-0000-0C00-000056000000}" name="2099-100" dataDxfId="766" dataCellStyle="Normal 2 2 2"/>
    <tableColumn id="87" xr3:uid="{00000000-0010-0000-0C00-000057000000}" name="2099-101" dataDxfId="765" dataCellStyle="Normal 2 2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1000000}" name="TBL4_OptApp22" displayName="TBL4_OptApp22" ref="B5:AZ169" totalsRowShown="0" headerRowDxfId="764" dataDxfId="762" headerRowBorderDxfId="763" tableBorderDxfId="761">
  <autoFilter ref="B5:AZ169" xr:uid="{00000000-0009-0000-0100-000015000000}">
    <filterColumn colId="6">
      <filters>
        <filter val="Feasible"/>
        <filter val="Preferred"/>
      </filters>
    </filterColumn>
  </autoFilter>
  <tableColumns count="51">
    <tableColumn id="42" xr3:uid="{00000000-0010-0000-1100-00002A000000}" name="WRMP24 Reference" dataDxfId="760"/>
    <tableColumn id="1" xr3:uid="{00000000-0010-0000-1100-000001000000}" name="Option ID" dataDxfId="759"/>
    <tableColumn id="2" xr3:uid="{00000000-0010-0000-1100-000002000000}" name="Option Name" dataDxfId="758"/>
    <tableColumn id="3" xr3:uid="{00000000-0010-0000-1100-000003000000}" name="Option type_x000a_Defined List" dataDxfId="757"/>
    <tableColumn id="4" xr3:uid="{00000000-0010-0000-1100-000004000000}" name="Option Group" dataDxfId="756"/>
    <tableColumn id="5" xr3:uid="{00000000-0010-0000-1100-000005000000}" name="WRZ(s) benefitting from option_x000a__x000a_Defined codes, accept multiples using &quot;,&quot; separator, or &quot;Company Wide&quot;" dataDxfId="755"/>
    <tableColumn id="6" xr3:uid="{00000000-0010-0000-1100-000006000000}" name="Option status_x000a_Defined" dataDxfId="754"/>
    <tableColumn id="7" xr3:uid="{00000000-0010-0000-1100-000007000000}" name="Third Party Option Flag_x000a_Y/N" dataDxfId="753"/>
    <tableColumn id="19" xr3:uid="{00000000-0010-0000-1100-000013000000}" name="Partnership Option TOTEX - all parties _x000a_(where applicable)_x000a__x000a_" dataDxfId="752"/>
    <tableColumn id="8" xr3:uid="{00000000-0010-0000-1100-000008000000}" name="Interdependent Options_x000a_(State one or more option IDs)" dataDxfId="751"/>
    <tableColumn id="9" xr3:uid="{00000000-0010-0000-1100-000009000000}" name="Preferred (Most Likely) Programme Y/N" dataDxfId="750"/>
    <tableColumn id="53" xr3:uid="{00000000-0010-0000-1100-000035000000}" name="Least Cost Programme Y/N" dataDxfId="749"/>
    <tableColumn id="30" xr3:uid="{00000000-0010-0000-1100-00001E000000}" name="Ofwat Core Programme Y/N" dataDxfId="748"/>
    <tableColumn id="10" xr3:uid="{00000000-0010-0000-1100-00000A000000}" name="Alternative Programme 1_x000a_Y/N" dataDxfId="747"/>
    <tableColumn id="11" xr3:uid="{00000000-0010-0000-1100-00000B000000}" name="Alternative Programme 2_x000a_Y/N" dataDxfId="746"/>
    <tableColumn id="12" xr3:uid="{00000000-0010-0000-1100-00000C000000}" name="Alternative Programme 3_x000a_Y/N" dataDxfId="745"/>
    <tableColumn id="13" xr3:uid="{00000000-0010-0000-1100-00000D000000}" name="Reason for option rejection" dataDxfId="744"/>
    <tableColumn id="14" xr3:uid="{00000000-0010-0000-1100-00000E000000}" name="WRZ transfer is from_x000a_Defined List" dataDxfId="743"/>
    <tableColumn id="15" xr3:uid="{00000000-0010-0000-1100-00000F000000}" name="WRZ transfer is to_x000a_Defined List" dataDxfId="742"/>
    <tableColumn id="16" xr3:uid="{00000000-0010-0000-1100-000010000000}" name="Gains in WAFU / Savings in Demand on full implementation (Ml/d)" dataDxfId="741"/>
    <tableColumn id="17" xr3:uid="{00000000-0010-0000-1100-000011000000}" name="Option benefits lead-in time (Years)" dataDxfId="740"/>
    <tableColumn id="18" xr3:uid="{00000000-0010-0000-1100-000012000000}" name="First year of option use in preferred programme (year)_x000a_(Preferred programme (most likely) only)" dataDxfId="739"/>
    <tableColumn id="20" xr3:uid="{00000000-0010-0000-1100-000014000000}" name="Totex expenditure prior to option in use (£m)" dataDxfId="738"/>
    <tableColumn id="21" xr3:uid="{00000000-0010-0000-1100-000015000000}" name="Totex expenditure per annum post option in use under maximum utilisation scenario (£m)" dataDxfId="737"/>
    <tableColumn id="22" xr3:uid="{00000000-0010-0000-1100-000016000000}" name="Average totex expenditure per annum post option in use (£m)" dataDxfId="736"/>
    <tableColumn id="23" xr3:uid="{00000000-0010-0000-1100-000017000000}" name="Average option utilisation used for average totex expenditure and operational carbon forecasts (Ml/d)" dataDxfId="735"/>
    <tableColumn id="24" xr3:uid="{00000000-0010-0000-1100-000018000000}" name="Maximum option utilisation across the planning period (Ml/d)" dataDxfId="734"/>
    <tableColumn id="25" xr3:uid="{00000000-0010-0000-1100-000019000000}" name="Embodied carbon emissions_x000a_(tCO2 equivalent)" dataDxfId="733"/>
    <tableColumn id="26" xr3:uid="{00000000-0010-0000-1100-00001A000000}" name="Operational carbon emissions under maximum utilisation scenario_x000a_(tCO2 equivalent per annum)" dataDxfId="732"/>
    <tableColumn id="27" xr3:uid="{00000000-0010-0000-1100-00001B000000}" name="Average operational carbon emissions_x000a_(tCO2 equivalent per annum)" dataDxfId="731"/>
    <tableColumn id="31" xr3:uid="{00000000-0010-0000-1100-00001F000000}" name="Total Carbon Cost (£M)" dataDxfId="730"/>
    <tableColumn id="28" xr3:uid="{00000000-0010-0000-1100-00001C000000}" name="Average Incremental Cost (AIC)_x000a_(p/m3)" dataDxfId="729"/>
    <tableColumn id="29" xr3:uid="{00000000-0010-0000-1100-00001D000000}" name="Total NPC (£m)" dataDxfId="728"/>
    <tableColumn id="32" xr3:uid="{00000000-0010-0000-1100-000020000000}" name="Natural capital impact of option_x000a_(define units) - weighted sum of options' impacts on biodiversity &amp; habitat, climate regulation, natural hazard regulation, water purification, water regulation, recreation &amp; tourism, and agriculture" dataDxfId="727"/>
    <tableColumn id="33" xr3:uid="{00000000-0010-0000-1100-000021000000}" name="B&amp;H_x000a_Non-monetised metric where applicable (define units)" dataDxfId="726"/>
    <tableColumn id="46" xr3:uid="{00000000-0010-0000-1100-00002E000000}" name="B&amp;H_x000a_Monetised metric where applicable (£M)" dataDxfId="725"/>
    <tableColumn id="34" xr3:uid="{00000000-0010-0000-1100-000022000000}" name="CR_x000a_Non-monetised metric where applicable (define units)" dataDxfId="724"/>
    <tableColumn id="47" xr3:uid="{00000000-0010-0000-1100-00002F000000}" name="CR_x000a_Monetised metric where applicable (£M)" dataDxfId="723"/>
    <tableColumn id="35" xr3:uid="{00000000-0010-0000-1100-000023000000}" name="NHR_x000a_Non-monetised metric where applicable (define units)" dataDxfId="722"/>
    <tableColumn id="48" xr3:uid="{00000000-0010-0000-1100-000030000000}" name="NHR_x000a_Monetised metric where applicable (£M)" dataDxfId="721"/>
    <tableColumn id="36" xr3:uid="{00000000-0010-0000-1100-000024000000}" name="WP_x000a_Non-monetised metric where applicable (define units)" dataDxfId="720"/>
    <tableColumn id="49" xr3:uid="{00000000-0010-0000-1100-000031000000}" name="WP_x000a_Monetised metric where applicable (£M)" dataDxfId="719"/>
    <tableColumn id="37" xr3:uid="{00000000-0010-0000-1100-000025000000}" name="WReg_x000a_Non-monetised metric where applicable (define units)" dataDxfId="718"/>
    <tableColumn id="50" xr3:uid="{00000000-0010-0000-1100-000032000000}" name="WReg_x000a_Monetised metric where applicable (£M)" dataDxfId="717"/>
    <tableColumn id="38" xr3:uid="{00000000-0010-0000-1100-000026000000}" name="R&amp;T_x000a_Non-monetised metric where applicable (define units)" dataDxfId="716"/>
    <tableColumn id="51" xr3:uid="{00000000-0010-0000-1100-000033000000}" name="R&amp;T_x000a_Monetised metric where applicable (£M)" dataDxfId="715"/>
    <tableColumn id="39" xr3:uid="{00000000-0010-0000-1100-000027000000}" name="Agriculture_x000a_Monetised metric where applicable (£M)" dataDxfId="714"/>
    <tableColumn id="40" xr3:uid="{00000000-0010-0000-1100-000028000000}" name="Freeform column 2" dataDxfId="713"/>
    <tableColumn id="41" xr3:uid="{00000000-0010-0000-1100-000029000000}" name="Freeform column 3" dataDxfId="712"/>
    <tableColumn id="45" xr3:uid="{00000000-0010-0000-1100-00002D000000}" name="Freeform column 4" dataDxfId="711"/>
    <tableColumn id="52" xr3:uid="{00000000-0010-0000-1100-000034000000}" name="Freeform column 5" dataDxfId="710"/>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BL5_OptBen" displayName="TBL5_OptBen" ref="B5:CN33" totalsRowShown="0" headerRowDxfId="709" dataDxfId="707" headerRowBorderDxfId="708" tableBorderDxfId="706">
  <autoFilter ref="B5:CN33" xr:uid="{00000000-0009-0000-0100-000013000000}">
    <filterColumn colId="2">
      <filters>
        <filter val="CW2401B"/>
        <filter val="CW2437Aii"/>
        <filter val="CW2438B"/>
      </filters>
    </filterColumn>
  </autoFilter>
  <tableColumns count="91">
    <tableColumn id="1" xr3:uid="{00000000-0010-0000-1200-000001000000}" name="WRMP24 Reference" dataDxfId="705">
      <calculatedColumnFormula>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calculatedColumnFormula>
    </tableColumn>
    <tableColumn id="2" xr3:uid="{00000000-0010-0000-1200-000002000000}" name="Option name" dataDxfId="704"/>
    <tableColumn id="3" xr3:uid="{00000000-0010-0000-1200-000003000000}" name="Option ID" dataDxfId="703"/>
    <tableColumn id="4" xr3:uid="{00000000-0010-0000-1200-000004000000}" name="Option Type (defined list)" dataDxfId="702"/>
    <tableColumn id="5" xr3:uid="{00000000-0010-0000-1200-000005000000}" name="Option Group" dataDxfId="701">
      <calculatedColumnFormula>VLOOKUP(TBL5_OptBen[[#This Row],[Option Type (defined list)]],'Option Typs_Grps'!B$2:C$47, 2, FALSE)</calculatedColumnFormula>
    </tableColumn>
    <tableColumn id="6" xr3:uid="{00000000-0010-0000-1200-000006000000}" name="Sub-option (Y/N)" dataDxfId="700"/>
    <tableColumn id="7" xr3:uid="{00000000-0010-0000-1200-000007000000}" name="Preferred (most likely), Least Cost, Ofwat Core or Alternative Programme" dataDxfId="699"/>
    <tableColumn id="8" xr3:uid="{00000000-0010-0000-1200-000008000000}" name="WRZ (defined list)" dataDxfId="698"/>
    <tableColumn id="91" xr3:uid="{00000000-0010-0000-1200-00005B000000}" name="Unit" dataDxfId="697"/>
    <tableColumn id="90" xr3:uid="{00000000-0010-0000-1200-00005A000000}" name="Decimal places" dataDxfId="696"/>
    <tableColumn id="89" xr3:uid="{00000000-0010-0000-1200-000059000000}" name="2019-20" dataDxfId="695"/>
    <tableColumn id="87" xr3:uid="{00000000-0010-0000-1200-000057000000}" name="2020-21" dataDxfId="694"/>
    <tableColumn id="88" xr3:uid="{00000000-0010-0000-1200-000058000000}" name="2021-22" dataDxfId="693"/>
    <tableColumn id="9" xr3:uid="{00000000-0010-0000-1200-000009000000}" name="2022-23" dataDxfId="692"/>
    <tableColumn id="10" xr3:uid="{00000000-0010-0000-1200-00000A000000}" name="2023-24" dataDxfId="691"/>
    <tableColumn id="11" xr3:uid="{00000000-0010-0000-1200-00000B000000}" name="2024-25" dataDxfId="690"/>
    <tableColumn id="12" xr3:uid="{00000000-0010-0000-1200-00000C000000}" name="2025-26" dataDxfId="689"/>
    <tableColumn id="13" xr3:uid="{00000000-0010-0000-1200-00000D000000}" name="2026-27" dataDxfId="688"/>
    <tableColumn id="14" xr3:uid="{00000000-0010-0000-1200-00000E000000}" name="2027-28" dataDxfId="687"/>
    <tableColumn id="15" xr3:uid="{00000000-0010-0000-1200-00000F000000}" name="2028-29" dataDxfId="686"/>
    <tableColumn id="16" xr3:uid="{00000000-0010-0000-1200-000010000000}" name="2029-30" dataDxfId="685"/>
    <tableColumn id="17" xr3:uid="{00000000-0010-0000-1200-000011000000}" name="2030-31" dataDxfId="684"/>
    <tableColumn id="18" xr3:uid="{00000000-0010-0000-1200-000012000000}" name="2031-32" dataDxfId="683"/>
    <tableColumn id="19" xr3:uid="{00000000-0010-0000-1200-000013000000}" name="2032-33" dataDxfId="682"/>
    <tableColumn id="20" xr3:uid="{00000000-0010-0000-1200-000014000000}" name="2033-34" dataDxfId="681"/>
    <tableColumn id="21" xr3:uid="{00000000-0010-0000-1200-000015000000}" name="2034-35" dataDxfId="680"/>
    <tableColumn id="22" xr3:uid="{00000000-0010-0000-1200-000016000000}" name="2035-36" dataDxfId="679"/>
    <tableColumn id="23" xr3:uid="{00000000-0010-0000-1200-000017000000}" name="2036-37" dataDxfId="678"/>
    <tableColumn id="24" xr3:uid="{00000000-0010-0000-1200-000018000000}" name="2037-38" dataDxfId="677"/>
    <tableColumn id="25" xr3:uid="{00000000-0010-0000-1200-000019000000}" name="2038-39" dataDxfId="676"/>
    <tableColumn id="26" xr3:uid="{00000000-0010-0000-1200-00001A000000}" name="2039-40" dataDxfId="675"/>
    <tableColumn id="27" xr3:uid="{00000000-0010-0000-1200-00001B000000}" name="2040-41" dataDxfId="674"/>
    <tableColumn id="28" xr3:uid="{00000000-0010-0000-1200-00001C000000}" name="2041-42" dataDxfId="673"/>
    <tableColumn id="29" xr3:uid="{00000000-0010-0000-1200-00001D000000}" name="2042-43" dataDxfId="672"/>
    <tableColumn id="30" xr3:uid="{00000000-0010-0000-1200-00001E000000}" name="2043-44" dataDxfId="671"/>
    <tableColumn id="31" xr3:uid="{00000000-0010-0000-1200-00001F000000}" name="2044-45" dataDxfId="670"/>
    <tableColumn id="32" xr3:uid="{00000000-0010-0000-1200-000020000000}" name="2045-46" dataDxfId="669"/>
    <tableColumn id="33" xr3:uid="{00000000-0010-0000-1200-000021000000}" name="2046-47" dataDxfId="668"/>
    <tableColumn id="34" xr3:uid="{00000000-0010-0000-1200-000022000000}" name="2047-48" dataDxfId="667"/>
    <tableColumn id="35" xr3:uid="{00000000-0010-0000-1200-000023000000}" name="2048-49" dataDxfId="666"/>
    <tableColumn id="36" xr3:uid="{00000000-0010-0000-1200-000024000000}" name="2049-50" dataDxfId="665"/>
    <tableColumn id="37" xr3:uid="{00000000-0010-0000-1200-000025000000}" name="2050-51" dataDxfId="664"/>
    <tableColumn id="38" xr3:uid="{00000000-0010-0000-1200-000026000000}" name="2051-52" dataDxfId="663"/>
    <tableColumn id="39" xr3:uid="{00000000-0010-0000-1200-000027000000}" name="2052-53" dataDxfId="662"/>
    <tableColumn id="40" xr3:uid="{00000000-0010-0000-1200-000028000000}" name="2053-54" dataDxfId="661"/>
    <tableColumn id="41" xr3:uid="{00000000-0010-0000-1200-000029000000}" name="2054-55" dataDxfId="660"/>
    <tableColumn id="42" xr3:uid="{00000000-0010-0000-1200-00002A000000}" name="2055-56" dataDxfId="659"/>
    <tableColumn id="43" xr3:uid="{00000000-0010-0000-1200-00002B000000}" name="2056-57" dataDxfId="658"/>
    <tableColumn id="44" xr3:uid="{00000000-0010-0000-1200-00002C000000}" name="2057-58" dataDxfId="657"/>
    <tableColumn id="45" xr3:uid="{00000000-0010-0000-1200-00002D000000}" name="2058-59" dataDxfId="656"/>
    <tableColumn id="46" xr3:uid="{00000000-0010-0000-1200-00002E000000}" name="2059-60" dataDxfId="655"/>
    <tableColumn id="47" xr3:uid="{00000000-0010-0000-1200-00002F000000}" name="2060-61" dataDxfId="654"/>
    <tableColumn id="48" xr3:uid="{00000000-0010-0000-1200-000030000000}" name="2061-62" dataDxfId="653"/>
    <tableColumn id="49" xr3:uid="{00000000-0010-0000-1200-000031000000}" name="2062-63" dataDxfId="652"/>
    <tableColumn id="50" xr3:uid="{00000000-0010-0000-1200-000032000000}" name="2063-64" dataDxfId="651"/>
    <tableColumn id="51" xr3:uid="{00000000-0010-0000-1200-000033000000}" name="2064-65" dataDxfId="650"/>
    <tableColumn id="52" xr3:uid="{00000000-0010-0000-1200-000034000000}" name="2065-66" dataDxfId="649"/>
    <tableColumn id="53" xr3:uid="{00000000-0010-0000-1200-000035000000}" name="2066-67" dataDxfId="648"/>
    <tableColumn id="54" xr3:uid="{00000000-0010-0000-1200-000036000000}" name="2067-68" dataDxfId="647"/>
    <tableColumn id="55" xr3:uid="{00000000-0010-0000-1200-000037000000}" name="2068-69" dataDxfId="646"/>
    <tableColumn id="56" xr3:uid="{00000000-0010-0000-1200-000038000000}" name="2069-70" dataDxfId="645"/>
    <tableColumn id="57" xr3:uid="{00000000-0010-0000-1200-000039000000}" name="2070-71" dataDxfId="644"/>
    <tableColumn id="58" xr3:uid="{00000000-0010-0000-1200-00003A000000}" name="2071-72" dataDxfId="643"/>
    <tableColumn id="59" xr3:uid="{00000000-0010-0000-1200-00003B000000}" name="2072-73" dataDxfId="642"/>
    <tableColumn id="60" xr3:uid="{00000000-0010-0000-1200-00003C000000}" name="2073-74" dataDxfId="641"/>
    <tableColumn id="61" xr3:uid="{00000000-0010-0000-1200-00003D000000}" name="2074-75" dataDxfId="640"/>
    <tableColumn id="62" xr3:uid="{00000000-0010-0000-1200-00003E000000}" name="2075-76" dataDxfId="639"/>
    <tableColumn id="63" xr3:uid="{00000000-0010-0000-1200-00003F000000}" name="2076-77" dataDxfId="638"/>
    <tableColumn id="64" xr3:uid="{00000000-0010-0000-1200-000040000000}" name="2077-78" dataDxfId="637"/>
    <tableColumn id="65" xr3:uid="{00000000-0010-0000-1200-000041000000}" name="2078-79" dataDxfId="636"/>
    <tableColumn id="66" xr3:uid="{00000000-0010-0000-1200-000042000000}" name="2079-80" dataDxfId="635"/>
    <tableColumn id="67" xr3:uid="{00000000-0010-0000-1200-000043000000}" name="2080-81" dataDxfId="634"/>
    <tableColumn id="68" xr3:uid="{00000000-0010-0000-1200-000044000000}" name="2081-82" dataDxfId="633"/>
    <tableColumn id="69" xr3:uid="{00000000-0010-0000-1200-000045000000}" name="2082-83" dataDxfId="632"/>
    <tableColumn id="70" xr3:uid="{00000000-0010-0000-1200-000046000000}" name="2083-84" dataDxfId="631"/>
    <tableColumn id="71" xr3:uid="{00000000-0010-0000-1200-000047000000}" name="2084-85" dataDxfId="630"/>
    <tableColumn id="72" xr3:uid="{00000000-0010-0000-1200-000048000000}" name="2085-86" dataDxfId="629"/>
    <tableColumn id="73" xr3:uid="{00000000-0010-0000-1200-000049000000}" name="2086-87" dataDxfId="628"/>
    <tableColumn id="74" xr3:uid="{00000000-0010-0000-1200-00004A000000}" name="2087-88" dataDxfId="627"/>
    <tableColumn id="75" xr3:uid="{00000000-0010-0000-1200-00004B000000}" name="2088-89" dataDxfId="626"/>
    <tableColumn id="76" xr3:uid="{00000000-0010-0000-1200-00004C000000}" name="2089-90" dataDxfId="625"/>
    <tableColumn id="77" xr3:uid="{00000000-0010-0000-1200-00004D000000}" name="2090-91" dataDxfId="624"/>
    <tableColumn id="78" xr3:uid="{00000000-0010-0000-1200-00004E000000}" name="2091-92" dataDxfId="623"/>
    <tableColumn id="79" xr3:uid="{00000000-0010-0000-1200-00004F000000}" name="2092-93" dataDxfId="622"/>
    <tableColumn id="80" xr3:uid="{00000000-0010-0000-1200-000050000000}" name="2093-94" dataDxfId="621"/>
    <tableColumn id="81" xr3:uid="{00000000-0010-0000-1200-000051000000}" name="2094-95" dataDxfId="620"/>
    <tableColumn id="82" xr3:uid="{00000000-0010-0000-1200-000052000000}" name="2095-96" dataDxfId="619"/>
    <tableColumn id="83" xr3:uid="{00000000-0010-0000-1200-000053000000}" name="2096-97" dataDxfId="618"/>
    <tableColumn id="84" xr3:uid="{00000000-0010-0000-1200-000054000000}" name="2097-98" dataDxfId="617"/>
    <tableColumn id="85" xr3:uid="{00000000-0010-0000-1200-000055000000}" name="2098-99" dataDxfId="616"/>
    <tableColumn id="86" xr3:uid="{00000000-0010-0000-1200-000056000000}" name="2099-100" dataDxfId="61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1b_GroupLic" displayName="TBL1b_GroupLic" ref="B40:L47" totalsRowShown="0" headerRowDxfId="1686" headerRowBorderDxfId="1685" tableBorderDxfId="1684" totalsRowBorderDxfId="1683" headerRowCellStyle="Normal 2">
  <autoFilter ref="B40:L47" xr:uid="{00000000-0009-0000-0100-000002000000}"/>
  <tableColumns count="11">
    <tableColumn id="2" xr3:uid="{00000000-0010-0000-0100-000002000000}" name="WRMP24 Reference" dataDxfId="1682" dataCellStyle="Normal 2"/>
    <tableColumn id="3" xr3:uid="{00000000-0010-0000-0100-000003000000}" name="Derivation" dataDxfId="1681" dataCellStyle="Normal 2"/>
    <tableColumn id="4" xr3:uid="{00000000-0010-0000-0100-000004000000}" name="Licence number" dataDxfId="1680" dataCellStyle="Normal 3"/>
    <tableColumn id="5" xr3:uid="{00000000-0010-0000-0100-000005000000}" name="Source name" dataDxfId="1679" dataCellStyle="Normal 3"/>
    <tableColumn id="6" xr3:uid="{00000000-0010-0000-0100-000006000000}" name="Source type" dataDxfId="1678" dataCellStyle="Normal 4"/>
    <tableColumn id="7" xr3:uid="{00000000-0010-0000-0100-000007000000}" name="WRZ Code" dataDxfId="1677" dataCellStyle="Normal 4"/>
    <tableColumn id="8" xr3:uid="{00000000-0010-0000-0100-000008000000}" name="DYAA deployable output (Ml/d)" dataDxfId="1676" dataCellStyle="Normal 5"/>
    <tableColumn id="1" xr3:uid="{00000000-0010-0000-0100-000001000000}" name="DYCP deployable output (Ml/d)" dataDxfId="1675" dataCellStyle="Normal 5"/>
    <tableColumn id="9" xr3:uid="{00000000-0010-0000-0100-000009000000}" name="Annual licensed quantity (Ml/d)" dataDxfId="1674" dataCellStyle="Normal 6"/>
    <tableColumn id="10" xr3:uid="{00000000-0010-0000-0100-00000A000000}" name="Constraints on deployable output" dataDxfId="1673" dataCellStyle="Normal 2"/>
    <tableColumn id="11" xr3:uid="{00000000-0010-0000-0100-00000B000000}" name="Additional notes (if desired)" dataDxfId="1672" dataCellStyle="Normal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3000000}" name="TBL8a_Base_Totex" displayName="TBL8a_Base_Totex" ref="B6:AA9" totalsRowShown="0" headerRowDxfId="614" dataDxfId="612" headerRowBorderDxfId="613" tableBorderDxfId="611" headerRowCellStyle="Normal 2 2 2">
  <autoFilter ref="B6:AA9" xr:uid="{00000000-0009-0000-0100-000018000000}"/>
  <tableColumns count="26">
    <tableColumn id="1" xr3:uid="{00000000-0010-0000-1300-000001000000}" name="Reference" dataDxfId="610"/>
    <tableColumn id="2" xr3:uid="{00000000-0010-0000-1300-000002000000}" name="Expenditure element" dataDxfId="609" dataCellStyle="Normal 2 2 2"/>
    <tableColumn id="3" xr3:uid="{00000000-0010-0000-1300-000003000000}" name="Expenditure type" dataDxfId="608" dataCellStyle="Normal 2 2 2"/>
    <tableColumn id="4" xr3:uid="{00000000-0010-0000-1300-000004000000}" name="Unit" dataDxfId="607" dataCellStyle="Normal 2 2 2"/>
    <tableColumn id="5" xr3:uid="{00000000-0010-0000-1300-000005000000}" name="Decimal places" dataDxfId="606" dataCellStyle="Normal 2 2 2"/>
    <tableColumn id="6" xr3:uid="{00000000-0010-0000-1300-000006000000}" name="2019-20" dataDxfId="605"/>
    <tableColumn id="7" xr3:uid="{00000000-0010-0000-1300-000007000000}" name="2020-21" dataDxfId="604"/>
    <tableColumn id="8" xr3:uid="{00000000-0010-0000-1300-000008000000}" name="2021-22" dataDxfId="603"/>
    <tableColumn id="9" xr3:uid="{00000000-0010-0000-1300-000009000000}" name="2022-23" dataDxfId="602"/>
    <tableColumn id="10" xr3:uid="{00000000-0010-0000-1300-00000A000000}" name="2023-24" dataDxfId="601"/>
    <tableColumn id="11" xr3:uid="{00000000-0010-0000-1300-00000B000000}" name="2024-25" dataDxfId="600"/>
    <tableColumn id="12" xr3:uid="{00000000-0010-0000-1300-00000C000000}" name="2025-26" dataDxfId="599"/>
    <tableColumn id="13" xr3:uid="{00000000-0010-0000-1300-00000D000000}" name="2026-27" dataDxfId="598"/>
    <tableColumn id="14" xr3:uid="{00000000-0010-0000-1300-00000E000000}" name="2027-28" dataDxfId="597"/>
    <tableColumn id="15" xr3:uid="{00000000-0010-0000-1300-00000F000000}" name="2028-29" dataDxfId="596"/>
    <tableColumn id="16" xr3:uid="{00000000-0010-0000-1300-000010000000}" name="2029-30" dataDxfId="595"/>
    <tableColumn id="17" xr3:uid="{00000000-0010-0000-1300-000011000000}" name="2030-31 _x000a_to _x000a_2034-35" dataDxfId="594"/>
    <tableColumn id="18" xr3:uid="{00000000-0010-0000-1300-000012000000}" name="2035-36 _x000a_to _x000a_2039-40" dataDxfId="593"/>
    <tableColumn id="19" xr3:uid="{00000000-0010-0000-1300-000013000000}" name="2040-41 _x000a_to _x000a_2044-45" dataDxfId="592"/>
    <tableColumn id="20" xr3:uid="{00000000-0010-0000-1300-000014000000}" name="2045-46 _x000a_to _x000a_2049-50" dataDxfId="591"/>
    <tableColumn id="21" xr3:uid="{00000000-0010-0000-1300-000015000000}" name="2050-51 _x000a_to _x000a_2054-55" dataDxfId="590"/>
    <tableColumn id="22" xr3:uid="{00000000-0010-0000-1300-000016000000}" name="2055-56 _x000a_to _x000a_2059-60" dataDxfId="589"/>
    <tableColumn id="23" xr3:uid="{00000000-0010-0000-1300-000017000000}" name="2060-61 _x000a_to _x000a_2064-65" dataDxfId="588"/>
    <tableColumn id="24" xr3:uid="{00000000-0010-0000-1300-000018000000}" name="2065-66 _x000a_to _x000a_2069-70" dataDxfId="587"/>
    <tableColumn id="25" xr3:uid="{00000000-0010-0000-1300-000019000000}" name="2070-71 _x000a_to _x000a_2074-75" dataDxfId="586"/>
    <tableColumn id="26" xr3:uid="{00000000-0010-0000-1300-00001A000000}" name="2075-76 _x000a_to _x000a_2079-80" dataDxfId="585"/>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4000000}" name="TBL8b_SDB_Expenditure" displayName="TBL8b_SDB_Expenditure" ref="B12:AA28" totalsRowShown="0" headerRowDxfId="584" dataDxfId="582" headerRowBorderDxfId="583" tableBorderDxfId="581" headerRowCellStyle="Normal 2 2 2" dataCellStyle="Normal 7">
  <autoFilter ref="B12:AA28" xr:uid="{00000000-0009-0000-0100-000019000000}"/>
  <tableColumns count="26">
    <tableColumn id="1" xr3:uid="{00000000-0010-0000-1400-000001000000}" name="Reference" dataDxfId="580" dataCellStyle="Normal 2 2 2"/>
    <tableColumn id="2" xr3:uid="{00000000-0010-0000-1400-000002000000}" name="Expenditure element" dataDxfId="579" dataCellStyle="Normal 2 2 2"/>
    <tableColumn id="3" xr3:uid="{00000000-0010-0000-1400-000003000000}" name="Expenditure type" dataDxfId="578" dataCellStyle="Normal 2 2 2"/>
    <tableColumn id="4" xr3:uid="{00000000-0010-0000-1400-000004000000}" name="Unit" dataDxfId="577" dataCellStyle="Normal 2 2 2"/>
    <tableColumn id="5" xr3:uid="{00000000-0010-0000-1400-000005000000}" name="Decimal places" dataDxfId="576" dataCellStyle="Normal 2 2 2"/>
    <tableColumn id="6" xr3:uid="{00000000-0010-0000-1400-000006000000}" name="2019-20" dataDxfId="575" dataCellStyle="Normal 7"/>
    <tableColumn id="7" xr3:uid="{00000000-0010-0000-1400-000007000000}" name="2020-21" dataDxfId="574" dataCellStyle="Normal 7"/>
    <tableColumn id="8" xr3:uid="{00000000-0010-0000-1400-000008000000}" name="2021-22" dataDxfId="573" dataCellStyle="Normal 7"/>
    <tableColumn id="9" xr3:uid="{00000000-0010-0000-1400-000009000000}" name="2022-23" dataDxfId="572" dataCellStyle="Normal 7"/>
    <tableColumn id="10" xr3:uid="{00000000-0010-0000-1400-00000A000000}" name="2023-24" dataDxfId="571" dataCellStyle="Normal 7"/>
    <tableColumn id="11" xr3:uid="{00000000-0010-0000-1400-00000B000000}" name="2024-25" dataDxfId="570" dataCellStyle="Normal 7"/>
    <tableColumn id="12" xr3:uid="{00000000-0010-0000-1400-00000C000000}" name="2025-26" dataDxfId="569" dataCellStyle="Normal 7"/>
    <tableColumn id="13" xr3:uid="{00000000-0010-0000-1400-00000D000000}" name="2026-27" dataDxfId="568" dataCellStyle="Normal 7"/>
    <tableColumn id="14" xr3:uid="{00000000-0010-0000-1400-00000E000000}" name="2027-28" dataDxfId="567" dataCellStyle="Normal 7"/>
    <tableColumn id="15" xr3:uid="{00000000-0010-0000-1400-00000F000000}" name="2028-29" dataDxfId="566" dataCellStyle="Normal 7"/>
    <tableColumn id="16" xr3:uid="{00000000-0010-0000-1400-000010000000}" name="2029-30" dataDxfId="565" dataCellStyle="Normal 7"/>
    <tableColumn id="17" xr3:uid="{00000000-0010-0000-1400-000011000000}" name="2030-31 _x000a_to _x000a_2034-35" dataDxfId="564" dataCellStyle="Normal 7"/>
    <tableColumn id="18" xr3:uid="{00000000-0010-0000-1400-000012000000}" name="2035-36 _x000a_to _x000a_2039-40" dataDxfId="563" dataCellStyle="Normal 7"/>
    <tableColumn id="19" xr3:uid="{00000000-0010-0000-1400-000013000000}" name="2040-41 _x000a_to _x000a_2044-45" dataDxfId="562" dataCellStyle="Normal 7"/>
    <tableColumn id="20" xr3:uid="{00000000-0010-0000-1400-000014000000}" name="2045-46 _x000a_to _x000a_2049-50" dataDxfId="561" dataCellStyle="Normal 7"/>
    <tableColumn id="21" xr3:uid="{00000000-0010-0000-1400-000015000000}" name="2050-51 _x000a_to _x000a_2054-55" dataDxfId="560" dataCellStyle="Normal 7"/>
    <tableColumn id="22" xr3:uid="{00000000-0010-0000-1400-000016000000}" name="2055-56 _x000a_to _x000a_2059-60" dataDxfId="559" dataCellStyle="Normal 7"/>
    <tableColumn id="23" xr3:uid="{00000000-0010-0000-1400-000017000000}" name="2060-61 _x000a_to _x000a_2064-65" dataDxfId="558" dataCellStyle="Normal 7"/>
    <tableColumn id="24" xr3:uid="{00000000-0010-0000-1400-000018000000}" name="2065-66 _x000a_to _x000a_2069-70" dataDxfId="557" dataCellStyle="Normal 7"/>
    <tableColumn id="25" xr3:uid="{00000000-0010-0000-1400-000019000000}" name="2070-71 _x000a_to _x000a_2074-75" dataDxfId="556" dataCellStyle="Normal 7"/>
    <tableColumn id="26" xr3:uid="{00000000-0010-0000-1400-00001A000000}" name="2075-76 _x000a_to _x000a_2079-80" dataDxfId="555" dataCellStyle="Normal 7"/>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5000000}" name="TBL8c_Metering_Expenditure" displayName="TBL8c_Metering_Expenditure" ref="B31:AA68" totalsRowShown="0" headerRowDxfId="554" dataDxfId="552" headerRowBorderDxfId="553" tableBorderDxfId="551" headerRowCellStyle="Normal 2 2 2" dataCellStyle="Normal 7">
  <autoFilter ref="B31:AA68" xr:uid="{00000000-0009-0000-0100-00001A000000}"/>
  <tableColumns count="26">
    <tableColumn id="1" xr3:uid="{00000000-0010-0000-1500-000001000000}" name="Reference" dataDxfId="550" dataCellStyle="Normal 2 2 2"/>
    <tableColumn id="2" xr3:uid="{00000000-0010-0000-1500-000002000000}" name="Expenditure element" dataDxfId="549" dataCellStyle="Normal 2 2 2"/>
    <tableColumn id="3" xr3:uid="{00000000-0010-0000-1500-000003000000}" name="Expenditure type" dataDxfId="548" dataCellStyle="Normal 2 2 2"/>
    <tableColumn id="4" xr3:uid="{00000000-0010-0000-1500-000004000000}" name="Unit" dataDxfId="547" dataCellStyle="Normal 2 2 2"/>
    <tableColumn id="5" xr3:uid="{00000000-0010-0000-1500-000005000000}" name="Decimal places" dataDxfId="546" dataCellStyle="Normal 2 2 2"/>
    <tableColumn id="6" xr3:uid="{00000000-0010-0000-1500-000006000000}" name="2019-20" dataDxfId="545" dataCellStyle="Normal 7"/>
    <tableColumn id="7" xr3:uid="{00000000-0010-0000-1500-000007000000}" name="2020-21" dataDxfId="544" dataCellStyle="Normal 7"/>
    <tableColumn id="8" xr3:uid="{00000000-0010-0000-1500-000008000000}" name="2021-22" dataDxfId="543" dataCellStyle="Normal 7"/>
    <tableColumn id="9" xr3:uid="{00000000-0010-0000-1500-000009000000}" name="2022-23" dataDxfId="542" dataCellStyle="Normal 7"/>
    <tableColumn id="10" xr3:uid="{00000000-0010-0000-1500-00000A000000}" name="2023-24" dataDxfId="541" dataCellStyle="Normal 7"/>
    <tableColumn id="11" xr3:uid="{00000000-0010-0000-1500-00000B000000}" name="2024-25" dataDxfId="540" dataCellStyle="Normal 7"/>
    <tableColumn id="12" xr3:uid="{00000000-0010-0000-1500-00000C000000}" name="2025-26" dataDxfId="539" dataCellStyle="Normal 7"/>
    <tableColumn id="13" xr3:uid="{00000000-0010-0000-1500-00000D000000}" name="2026-27" dataDxfId="538" dataCellStyle="Normal 7"/>
    <tableColumn id="14" xr3:uid="{00000000-0010-0000-1500-00000E000000}" name="2027-28" dataDxfId="537" dataCellStyle="Normal 7"/>
    <tableColumn id="15" xr3:uid="{00000000-0010-0000-1500-00000F000000}" name="2028-29" dataDxfId="536" dataCellStyle="Normal 7"/>
    <tableColumn id="16" xr3:uid="{00000000-0010-0000-1500-000010000000}" name="2029-30" dataDxfId="535" dataCellStyle="Normal 7"/>
    <tableColumn id="17" xr3:uid="{00000000-0010-0000-1500-000011000000}" name="2030-31 _x000a_to _x000a_2034-35" dataDxfId="534" dataCellStyle="Normal 7"/>
    <tableColumn id="18" xr3:uid="{00000000-0010-0000-1500-000012000000}" name="2035-36 _x000a_to _x000a_2039-40" dataDxfId="533" dataCellStyle="Normal 7"/>
    <tableColumn id="19" xr3:uid="{00000000-0010-0000-1500-000013000000}" name="2040-41 _x000a_to _x000a_2044-45" dataDxfId="532" dataCellStyle="Normal 7"/>
    <tableColumn id="20" xr3:uid="{00000000-0010-0000-1500-000014000000}" name="2045-46 _x000a_to _x000a_2049-50" dataDxfId="531" dataCellStyle="Normal 7"/>
    <tableColumn id="21" xr3:uid="{00000000-0010-0000-1500-000015000000}" name="2050-51 _x000a_to _x000a_2054-55" dataDxfId="530" dataCellStyle="Normal 7"/>
    <tableColumn id="22" xr3:uid="{00000000-0010-0000-1500-000016000000}" name="2055-56 _x000a_to _x000a_2059-60" dataDxfId="529" dataCellStyle="Normal 7"/>
    <tableColumn id="23" xr3:uid="{00000000-0010-0000-1500-000017000000}" name="2060-61 _x000a_to _x000a_2064-65" dataDxfId="528" dataCellStyle="Normal 7"/>
    <tableColumn id="24" xr3:uid="{00000000-0010-0000-1500-000018000000}" name="2065-66 _x000a_to _x000a_2069-70" dataDxfId="527" dataCellStyle="Normal 7"/>
    <tableColumn id="25" xr3:uid="{00000000-0010-0000-1500-000019000000}" name="2070-71 _x000a_to _x000a_2074-75" dataDxfId="526" dataCellStyle="Normal 7"/>
    <tableColumn id="26" xr3:uid="{00000000-0010-0000-1500-00001A000000}" name="2075-76 _x000a_to _x000a_2079-80" dataDxfId="525" dataCellStyle="Normal 7"/>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6000000}" name="TBL8d_Total_Enhancement" displayName="TBL8d_Total_Enhancement" ref="B71:AA74" totalsRowShown="0" headerRowDxfId="524" dataDxfId="522" headerRowBorderDxfId="523" tableBorderDxfId="521" headerRowCellStyle="Normal 2 2 2" dataCellStyle="Normal 7">
  <autoFilter ref="B71:AA74" xr:uid="{00000000-0009-0000-0100-00001B000000}"/>
  <tableColumns count="26">
    <tableColumn id="1" xr3:uid="{00000000-0010-0000-1600-000001000000}" name="Reference" dataDxfId="520" dataCellStyle="Normal 2 2 2"/>
    <tableColumn id="2" xr3:uid="{00000000-0010-0000-1600-000002000000}" name="Expenditure element" dataDxfId="519" dataCellStyle="Normal 2 2 2"/>
    <tableColumn id="3" xr3:uid="{00000000-0010-0000-1600-000003000000}" name="Expenditure type" dataDxfId="518" dataCellStyle="Normal 2 2 2"/>
    <tableColumn id="4" xr3:uid="{00000000-0010-0000-1600-000004000000}" name="Unit" dataDxfId="517" dataCellStyle="Normal 2 2 2"/>
    <tableColumn id="5" xr3:uid="{00000000-0010-0000-1600-000005000000}" name="Decimal places" dataDxfId="516" dataCellStyle="Normal 2 2 2"/>
    <tableColumn id="6" xr3:uid="{00000000-0010-0000-1600-000006000000}" name="2019-20" dataDxfId="515" dataCellStyle="Normal 7"/>
    <tableColumn id="7" xr3:uid="{00000000-0010-0000-1600-000007000000}" name="2020-21" dataDxfId="514" dataCellStyle="Normal 7"/>
    <tableColumn id="8" xr3:uid="{00000000-0010-0000-1600-000008000000}" name="2021-22" dataDxfId="513" dataCellStyle="Normal 7"/>
    <tableColumn id="9" xr3:uid="{00000000-0010-0000-1600-000009000000}" name="2022-23" dataDxfId="512" dataCellStyle="Normal 7"/>
    <tableColumn id="10" xr3:uid="{00000000-0010-0000-1600-00000A000000}" name="2023-24" dataDxfId="511" dataCellStyle="Normal 7"/>
    <tableColumn id="11" xr3:uid="{00000000-0010-0000-1600-00000B000000}" name="2024-25" dataDxfId="510" dataCellStyle="Normal 7"/>
    <tableColumn id="12" xr3:uid="{00000000-0010-0000-1600-00000C000000}" name="2025-26" dataDxfId="509" dataCellStyle="Normal 7"/>
    <tableColumn id="13" xr3:uid="{00000000-0010-0000-1600-00000D000000}" name="2026-27" dataDxfId="508" dataCellStyle="Normal 7"/>
    <tableColumn id="14" xr3:uid="{00000000-0010-0000-1600-00000E000000}" name="2027-28" dataDxfId="507" dataCellStyle="Normal 7"/>
    <tableColumn id="15" xr3:uid="{00000000-0010-0000-1600-00000F000000}" name="2028-29" dataDxfId="506" dataCellStyle="Normal 7"/>
    <tableColumn id="16" xr3:uid="{00000000-0010-0000-1600-000010000000}" name="2029-30" dataDxfId="505" dataCellStyle="Normal 7"/>
    <tableColumn id="17" xr3:uid="{00000000-0010-0000-1600-000011000000}" name="2030-31 _x000a_to _x000a_2034-35" dataDxfId="504" dataCellStyle="Normal 7"/>
    <tableColumn id="18" xr3:uid="{00000000-0010-0000-1600-000012000000}" name="2035-36 _x000a_to _x000a_2039-40" dataDxfId="503" dataCellStyle="Normal 7"/>
    <tableColumn id="19" xr3:uid="{00000000-0010-0000-1600-000013000000}" name="2040-41 _x000a_to _x000a_2044-45" dataDxfId="502" dataCellStyle="Normal 7"/>
    <tableColumn id="20" xr3:uid="{00000000-0010-0000-1600-000014000000}" name="2045-46 _x000a_to _x000a_2049-50" dataDxfId="501" dataCellStyle="Normal 7"/>
    <tableColumn id="21" xr3:uid="{00000000-0010-0000-1600-000015000000}" name="2050-51 _x000a_to _x000a_2054-55" dataDxfId="500" dataCellStyle="Normal 7"/>
    <tableColumn id="22" xr3:uid="{00000000-0010-0000-1600-000016000000}" name="2055-56 _x000a_to _x000a_2059-60" dataDxfId="499" dataCellStyle="Normal 7"/>
    <tableColumn id="23" xr3:uid="{00000000-0010-0000-1600-000017000000}" name="2060-61 _x000a_to _x000a_2064-65" dataDxfId="498" dataCellStyle="Normal 7"/>
    <tableColumn id="24" xr3:uid="{00000000-0010-0000-1600-000018000000}" name="2065-66 _x000a_to _x000a_2069-70" dataDxfId="497" dataCellStyle="Normal 7"/>
    <tableColumn id="25" xr3:uid="{00000000-0010-0000-1600-000019000000}" name="2070-71 _x000a_to _x000a_2074-75" dataDxfId="496" dataCellStyle="Normal 7"/>
    <tableColumn id="26" xr3:uid="{00000000-0010-0000-1600-00001A000000}" name="2075-76 _x000a_to _x000a_2079-80" dataDxfId="495" dataCellStyle="Normal 7"/>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BL8e_Supply_Demand_Benefit" displayName="TBL8e_Supply_Demand_Benefit" ref="B77:AA89" totalsRowShown="0" headerRowDxfId="494" dataDxfId="492" headerRowBorderDxfId="493" tableBorderDxfId="491" headerRowCellStyle="Normal 2 2 2" dataCellStyle="Normal 7">
  <autoFilter ref="B77:AA89" xr:uid="{00000000-0009-0000-0100-00001C000000}"/>
  <tableColumns count="26">
    <tableColumn id="1" xr3:uid="{00000000-0010-0000-1700-000001000000}" name="Reference" dataDxfId="490" dataCellStyle="Normal 2 2 2"/>
    <tableColumn id="2" xr3:uid="{00000000-0010-0000-1700-000002000000}" name="Benefit element" dataDxfId="489" dataCellStyle="Normal 2 2 2"/>
    <tableColumn id="3" xr3:uid="{00000000-0010-0000-1700-000003000000}" name="Expenditure type" dataDxfId="488" dataCellStyle="Normal 2 2 2"/>
    <tableColumn id="4" xr3:uid="{00000000-0010-0000-1700-000004000000}" name="Unit" dataDxfId="487" dataCellStyle="Normal 2 2 2"/>
    <tableColumn id="5" xr3:uid="{00000000-0010-0000-1700-000005000000}" name="Decimal places" dataDxfId="486" dataCellStyle="Normal 2 2 2"/>
    <tableColumn id="6" xr3:uid="{00000000-0010-0000-1700-000006000000}" name="2019-20" dataDxfId="485" dataCellStyle="Normal 7"/>
    <tableColumn id="7" xr3:uid="{00000000-0010-0000-1700-000007000000}" name="2020-21" dataDxfId="484" dataCellStyle="Normal 7"/>
    <tableColumn id="8" xr3:uid="{00000000-0010-0000-1700-000008000000}" name="2021-22" dataDxfId="483" dataCellStyle="Normal 7"/>
    <tableColumn id="9" xr3:uid="{00000000-0010-0000-1700-000009000000}" name="2022-23" dataDxfId="482" dataCellStyle="Normal 7"/>
    <tableColumn id="10" xr3:uid="{00000000-0010-0000-1700-00000A000000}" name="2023-24" dataDxfId="481" dataCellStyle="Normal 7"/>
    <tableColumn id="11" xr3:uid="{00000000-0010-0000-1700-00000B000000}" name="2024-25" dataDxfId="480" dataCellStyle="Normal 7"/>
    <tableColumn id="12" xr3:uid="{00000000-0010-0000-1700-00000C000000}" name="2025-26" dataDxfId="479" dataCellStyle="Normal 7"/>
    <tableColumn id="13" xr3:uid="{00000000-0010-0000-1700-00000D000000}" name="2026-27" dataDxfId="478" dataCellStyle="Normal 7"/>
    <tableColumn id="14" xr3:uid="{00000000-0010-0000-1700-00000E000000}" name="2027-28" dataDxfId="477" dataCellStyle="Normal 7"/>
    <tableColumn id="15" xr3:uid="{00000000-0010-0000-1700-00000F000000}" name="2028-29" dataDxfId="476" dataCellStyle="Normal 7"/>
    <tableColumn id="16" xr3:uid="{00000000-0010-0000-1700-000010000000}" name="2029-30" dataDxfId="475" dataCellStyle="Normal 7"/>
    <tableColumn id="17" xr3:uid="{00000000-0010-0000-1700-000011000000}" name="2030-31 _x000a_to _x000a_2034-35" dataDxfId="474" dataCellStyle="Normal 7"/>
    <tableColumn id="18" xr3:uid="{00000000-0010-0000-1700-000012000000}" name="2035-36 _x000a_to _x000a_2039-40" dataDxfId="473" dataCellStyle="Normal 7"/>
    <tableColumn id="19" xr3:uid="{00000000-0010-0000-1700-000013000000}" name="2040-41 _x000a_to _x000a_2044-45" dataDxfId="472" dataCellStyle="Normal 7"/>
    <tableColumn id="20" xr3:uid="{00000000-0010-0000-1700-000014000000}" name="2045-46 _x000a_to _x000a_2049-50" dataDxfId="471" dataCellStyle="Normal 7"/>
    <tableColumn id="21" xr3:uid="{00000000-0010-0000-1700-000015000000}" name="2050-51 _x000a_to _x000a_2054-55" dataDxfId="470" dataCellStyle="Normal 7"/>
    <tableColumn id="22" xr3:uid="{00000000-0010-0000-1700-000016000000}" name="2055-56 _x000a_to _x000a_2059-60" dataDxfId="469" dataCellStyle="Normal 7"/>
    <tableColumn id="23" xr3:uid="{00000000-0010-0000-1700-000017000000}" name="2060-61 _x000a_to _x000a_2064-65" dataDxfId="468" dataCellStyle="Normal 7"/>
    <tableColumn id="24" xr3:uid="{00000000-0010-0000-1700-000018000000}" name="2065-66 _x000a_to _x000a_2069-70" dataDxfId="467" dataCellStyle="Normal 7"/>
    <tableColumn id="25" xr3:uid="{00000000-0010-0000-1700-000019000000}" name="2070-71 _x000a_to _x000a_2074-75" dataDxfId="466" dataCellStyle="Normal 7"/>
    <tableColumn id="26" xr3:uid="{00000000-0010-0000-1700-00001A000000}" name="2075-76 _x000a_to _x000a_2079-80" dataDxfId="465" dataCellStyle="Normal 7"/>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8000000}" name="TBL8f_Leakage_Totex" displayName="TBL8f_Leakage_Totex" ref="B92:AA94" totalsRowShown="0" headerRowDxfId="464" dataDxfId="462" headerRowBorderDxfId="463" tableBorderDxfId="461" headerRowCellStyle="Normal 2 2 2">
  <autoFilter ref="B92:AA94" xr:uid="{00000000-0009-0000-0100-00001D000000}"/>
  <tableColumns count="26">
    <tableColumn id="1" xr3:uid="{00000000-0010-0000-1800-000001000000}" name="Reference" dataDxfId="460"/>
    <tableColumn id="2" xr3:uid="{00000000-0010-0000-1800-000002000000}" name="Expenditure element" dataDxfId="459"/>
    <tableColumn id="3" xr3:uid="{00000000-0010-0000-1800-000003000000}" name="Expenditure type" dataDxfId="458"/>
    <tableColumn id="4" xr3:uid="{00000000-0010-0000-1800-000004000000}" name="Unit" dataDxfId="457"/>
    <tableColumn id="5" xr3:uid="{00000000-0010-0000-1800-000005000000}" name="Decimal places" dataDxfId="456"/>
    <tableColumn id="6" xr3:uid="{00000000-0010-0000-1800-000006000000}" name="2019-20" dataDxfId="455"/>
    <tableColumn id="7" xr3:uid="{00000000-0010-0000-1800-000007000000}" name="2020-21" dataDxfId="454"/>
    <tableColumn id="8" xr3:uid="{00000000-0010-0000-1800-000008000000}" name="2021-22" dataDxfId="453"/>
    <tableColumn id="9" xr3:uid="{00000000-0010-0000-1800-000009000000}" name="2022-23" dataDxfId="452"/>
    <tableColumn id="10" xr3:uid="{00000000-0010-0000-1800-00000A000000}" name="2023-24" dataDxfId="451"/>
    <tableColumn id="11" xr3:uid="{00000000-0010-0000-1800-00000B000000}" name="2024-25" dataDxfId="450" dataCellStyle="Normal 7"/>
    <tableColumn id="12" xr3:uid="{00000000-0010-0000-1800-00000C000000}" name="2025-26" dataDxfId="449"/>
    <tableColumn id="13" xr3:uid="{00000000-0010-0000-1800-00000D000000}" name="2026-27" dataDxfId="448"/>
    <tableColumn id="14" xr3:uid="{00000000-0010-0000-1800-00000E000000}" name="2027-28" dataDxfId="447"/>
    <tableColumn id="15" xr3:uid="{00000000-0010-0000-1800-00000F000000}" name="2028-29" dataDxfId="446"/>
    <tableColumn id="16" xr3:uid="{00000000-0010-0000-1800-000010000000}" name="2029-30" dataDxfId="445"/>
    <tableColumn id="17" xr3:uid="{00000000-0010-0000-1800-000011000000}" name="2030-31 _x000a_to _x000a_2034-35" dataDxfId="444"/>
    <tableColumn id="18" xr3:uid="{00000000-0010-0000-1800-000012000000}" name="2035-36 _x000a_to _x000a_2039-40" dataDxfId="443"/>
    <tableColumn id="19" xr3:uid="{00000000-0010-0000-1800-000013000000}" name="2040-41 _x000a_to _x000a_2044-45" dataDxfId="442"/>
    <tableColumn id="20" xr3:uid="{00000000-0010-0000-1800-000014000000}" name="2045-46 _x000a_to _x000a_2049-50" dataDxfId="441"/>
    <tableColumn id="21" xr3:uid="{00000000-0010-0000-1800-000015000000}" name="2050-51 _x000a_to _x000a_2054-55" dataDxfId="440"/>
    <tableColumn id="22" xr3:uid="{00000000-0010-0000-1800-000016000000}" name="2055-56 _x000a_to _x000a_2059-60" dataDxfId="439"/>
    <tableColumn id="23" xr3:uid="{00000000-0010-0000-1800-000017000000}" name="2060-61 _x000a_to _x000a_2064-65" dataDxfId="438"/>
    <tableColumn id="24" xr3:uid="{00000000-0010-0000-1800-000018000000}" name="2065-66 _x000a_to _x000a_2069-70" dataDxfId="437"/>
    <tableColumn id="25" xr3:uid="{00000000-0010-0000-1800-000019000000}" name="2070-71 _x000a_to _x000a_2074-75" dataDxfId="436"/>
    <tableColumn id="26" xr3:uid="{00000000-0010-0000-1800-00001A000000}" name="2075-76 _x000a_to _x000a_2079-80" dataDxfId="435"/>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9000000}" name="TBL8a_Base_Totex11" displayName="TBL8a_Base_Totex11" ref="B101:AA104" totalsRowShown="0" headerRowDxfId="434" dataDxfId="432" headerRowBorderDxfId="433" tableBorderDxfId="431" headerRowCellStyle="Normal 2 2 2">
  <autoFilter ref="B101:AA104" xr:uid="{00000000-0009-0000-0100-00000A000000}"/>
  <tableColumns count="26">
    <tableColumn id="1" xr3:uid="{00000000-0010-0000-1900-000001000000}" name="Reference" dataDxfId="430"/>
    <tableColumn id="2" xr3:uid="{00000000-0010-0000-1900-000002000000}" name="Expenditure element" dataDxfId="429" dataCellStyle="Normal 2 2 2"/>
    <tableColumn id="3" xr3:uid="{00000000-0010-0000-1900-000003000000}" name="Expenditure type" dataDxfId="428" dataCellStyle="Normal 2 2 2"/>
    <tableColumn id="4" xr3:uid="{00000000-0010-0000-1900-000004000000}" name="Unit" dataDxfId="427" dataCellStyle="Normal 2 2 2"/>
    <tableColumn id="5" xr3:uid="{00000000-0010-0000-1900-000005000000}" name="Decimal places" dataDxfId="426" dataCellStyle="Normal 2 2 2"/>
    <tableColumn id="6" xr3:uid="{00000000-0010-0000-1900-000006000000}" name="2019-20" dataDxfId="425"/>
    <tableColumn id="7" xr3:uid="{00000000-0010-0000-1900-000007000000}" name="2020-21" dataDxfId="424"/>
    <tableColumn id="8" xr3:uid="{00000000-0010-0000-1900-000008000000}" name="2021-22" dataDxfId="423"/>
    <tableColumn id="9" xr3:uid="{00000000-0010-0000-1900-000009000000}" name="2022-23" dataDxfId="422"/>
    <tableColumn id="10" xr3:uid="{00000000-0010-0000-1900-00000A000000}" name="2023-24" dataDxfId="421"/>
    <tableColumn id="11" xr3:uid="{00000000-0010-0000-1900-00000B000000}" name="2024-25" dataDxfId="420"/>
    <tableColumn id="12" xr3:uid="{00000000-0010-0000-1900-00000C000000}" name="2025-26" dataDxfId="419"/>
    <tableColumn id="13" xr3:uid="{00000000-0010-0000-1900-00000D000000}" name="2026-27" dataDxfId="418"/>
    <tableColumn id="14" xr3:uid="{00000000-0010-0000-1900-00000E000000}" name="2027-28" dataDxfId="417"/>
    <tableColumn id="15" xr3:uid="{00000000-0010-0000-1900-00000F000000}" name="2028-29" dataDxfId="416"/>
    <tableColumn id="16" xr3:uid="{00000000-0010-0000-1900-000010000000}" name="2029-30" dataDxfId="415"/>
    <tableColumn id="17" xr3:uid="{00000000-0010-0000-1900-000011000000}" name="2030-31 _x000a_to _x000a_2034-35" dataDxfId="414"/>
    <tableColumn id="18" xr3:uid="{00000000-0010-0000-1900-000012000000}" name="2035-36 _x000a_to _x000a_2039-40" dataDxfId="413"/>
    <tableColumn id="19" xr3:uid="{00000000-0010-0000-1900-000013000000}" name="2040-41 _x000a_to _x000a_2044-45" dataDxfId="412"/>
    <tableColumn id="20" xr3:uid="{00000000-0010-0000-1900-000014000000}" name="2045-46 _x000a_to _x000a_2049-50" dataDxfId="411"/>
    <tableColumn id="21" xr3:uid="{00000000-0010-0000-1900-000015000000}" name="2050-51 _x000a_to _x000a_2054-55" dataDxfId="410"/>
    <tableColumn id="22" xr3:uid="{00000000-0010-0000-1900-000016000000}" name="2055-56 _x000a_to _x000a_2059-60" dataDxfId="409"/>
    <tableColumn id="23" xr3:uid="{00000000-0010-0000-1900-000017000000}" name="2060-61 _x000a_to _x000a_2064-65" dataDxfId="408"/>
    <tableColumn id="24" xr3:uid="{00000000-0010-0000-1900-000018000000}" name="2065-66 _x000a_to _x000a_2069-70" dataDxfId="407"/>
    <tableColumn id="25" xr3:uid="{00000000-0010-0000-1900-000019000000}" name="2070-71 _x000a_to _x000a_2074-75" dataDxfId="406"/>
    <tableColumn id="26" xr3:uid="{00000000-0010-0000-1900-00001A000000}" name="2075-76 _x000a_to _x000a_2079-80" dataDxfId="405"/>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A000000}" name="TBL8b_SDB_Expenditure12" displayName="TBL8b_SDB_Expenditure12" ref="B107:AA123" totalsRowShown="0" headerRowDxfId="404" dataDxfId="402" headerRowBorderDxfId="403" tableBorderDxfId="401" headerRowCellStyle="Normal 2 2 2" dataCellStyle="Normal 7">
  <autoFilter ref="B107:AA123" xr:uid="{00000000-0009-0000-0100-00000B000000}"/>
  <tableColumns count="26">
    <tableColumn id="1" xr3:uid="{00000000-0010-0000-1A00-000001000000}" name="Reference" dataDxfId="400" dataCellStyle="Normal 2 2 2"/>
    <tableColumn id="2" xr3:uid="{00000000-0010-0000-1A00-000002000000}" name="Expenditure element" dataDxfId="399" dataCellStyle="Normal 2 2 2"/>
    <tableColumn id="3" xr3:uid="{00000000-0010-0000-1A00-000003000000}" name="Expenditure type" dataDxfId="398" dataCellStyle="Normal 2 2 2"/>
    <tableColumn id="4" xr3:uid="{00000000-0010-0000-1A00-000004000000}" name="Unit" dataDxfId="397" dataCellStyle="Normal 2 2 2"/>
    <tableColumn id="5" xr3:uid="{00000000-0010-0000-1A00-000005000000}" name="Decimal places" dataDxfId="396" dataCellStyle="Normal 2 2 2"/>
    <tableColumn id="6" xr3:uid="{00000000-0010-0000-1A00-000006000000}" name="2019-20" dataDxfId="395" dataCellStyle="Normal 7"/>
    <tableColumn id="7" xr3:uid="{00000000-0010-0000-1A00-000007000000}" name="2020-21" dataDxfId="394" dataCellStyle="Normal 7"/>
    <tableColumn id="8" xr3:uid="{00000000-0010-0000-1A00-000008000000}" name="2021-22" dataDxfId="393" dataCellStyle="Normal 7"/>
    <tableColumn id="9" xr3:uid="{00000000-0010-0000-1A00-000009000000}" name="2022-23" dataDxfId="392" dataCellStyle="Normal 7"/>
    <tableColumn id="10" xr3:uid="{00000000-0010-0000-1A00-00000A000000}" name="2023-24" dataDxfId="391" dataCellStyle="Normal 7"/>
    <tableColumn id="11" xr3:uid="{00000000-0010-0000-1A00-00000B000000}" name="2024-25" dataDxfId="390" dataCellStyle="Normal 7"/>
    <tableColumn id="12" xr3:uid="{00000000-0010-0000-1A00-00000C000000}" name="2025-26" dataDxfId="389" dataCellStyle="Normal 7"/>
    <tableColumn id="13" xr3:uid="{00000000-0010-0000-1A00-00000D000000}" name="2026-27" dataDxfId="388" dataCellStyle="Normal 7"/>
    <tableColumn id="14" xr3:uid="{00000000-0010-0000-1A00-00000E000000}" name="2027-28" dataDxfId="387" dataCellStyle="Normal 7"/>
    <tableColumn id="15" xr3:uid="{00000000-0010-0000-1A00-00000F000000}" name="2028-29" dataDxfId="386" dataCellStyle="Normal 7"/>
    <tableColumn id="16" xr3:uid="{00000000-0010-0000-1A00-000010000000}" name="2029-30" dataDxfId="385" dataCellStyle="Normal 7"/>
    <tableColumn id="17" xr3:uid="{00000000-0010-0000-1A00-000011000000}" name="2030-31 _x000a_to _x000a_2034-35" dataDxfId="384" dataCellStyle="Normal 7"/>
    <tableColumn id="18" xr3:uid="{00000000-0010-0000-1A00-000012000000}" name="2035-36 _x000a_to _x000a_2039-40" dataDxfId="383" dataCellStyle="Normal 7"/>
    <tableColumn id="19" xr3:uid="{00000000-0010-0000-1A00-000013000000}" name="2040-41 _x000a_to _x000a_2044-45" dataDxfId="382" dataCellStyle="Normal 7"/>
    <tableColumn id="20" xr3:uid="{00000000-0010-0000-1A00-000014000000}" name="2045-46 _x000a_to _x000a_2049-50" dataDxfId="381" dataCellStyle="Normal 7"/>
    <tableColumn id="21" xr3:uid="{00000000-0010-0000-1A00-000015000000}" name="2050-51 _x000a_to _x000a_2054-55" dataDxfId="380" dataCellStyle="Normal 7"/>
    <tableColumn id="22" xr3:uid="{00000000-0010-0000-1A00-000016000000}" name="2055-56 _x000a_to _x000a_2059-60" dataDxfId="379" dataCellStyle="Normal 7"/>
    <tableColumn id="23" xr3:uid="{00000000-0010-0000-1A00-000017000000}" name="2060-61 _x000a_to _x000a_2064-65" dataDxfId="378" dataCellStyle="Normal 7"/>
    <tableColumn id="24" xr3:uid="{00000000-0010-0000-1A00-000018000000}" name="2065-66 _x000a_to _x000a_2069-70" dataDxfId="377" dataCellStyle="Normal 7"/>
    <tableColumn id="25" xr3:uid="{00000000-0010-0000-1A00-000019000000}" name="2070-71 _x000a_to _x000a_2074-75" dataDxfId="376" dataCellStyle="Normal 7"/>
    <tableColumn id="26" xr3:uid="{00000000-0010-0000-1A00-00001A000000}" name="2075-76 _x000a_to _x000a_2079-80" dataDxfId="375" dataCellStyle="Normal 7"/>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B000000}" name="TBL8c_Metering_Expenditure23" displayName="TBL8c_Metering_Expenditure23" ref="B126:AA163" totalsRowShown="0" headerRowDxfId="374" dataDxfId="372" headerRowBorderDxfId="373" tableBorderDxfId="371" headerRowCellStyle="Normal 2 2 2" dataCellStyle="Normal 7">
  <autoFilter ref="B126:AA163" xr:uid="{00000000-0009-0000-0100-000016000000}"/>
  <tableColumns count="26">
    <tableColumn id="1" xr3:uid="{00000000-0010-0000-1B00-000001000000}" name="Reference" dataDxfId="370" dataCellStyle="Normal 2 2 2"/>
    <tableColumn id="2" xr3:uid="{00000000-0010-0000-1B00-000002000000}" name="Expenditure element" dataDxfId="369" dataCellStyle="Normal 2 2 2"/>
    <tableColumn id="3" xr3:uid="{00000000-0010-0000-1B00-000003000000}" name="Expenditure type" dataDxfId="368" dataCellStyle="Normal 2 2 2"/>
    <tableColumn id="4" xr3:uid="{00000000-0010-0000-1B00-000004000000}" name="Unit" dataDxfId="367" dataCellStyle="Normal 2 2 2"/>
    <tableColumn id="5" xr3:uid="{00000000-0010-0000-1B00-000005000000}" name="Decimal places" dataDxfId="366" dataCellStyle="Normal 2 2 2"/>
    <tableColumn id="6" xr3:uid="{00000000-0010-0000-1B00-000006000000}" name="2019-20" dataDxfId="365" dataCellStyle="Normal 7"/>
    <tableColumn id="7" xr3:uid="{00000000-0010-0000-1B00-000007000000}" name="2020-21" dataDxfId="364" dataCellStyle="Normal 7"/>
    <tableColumn id="8" xr3:uid="{00000000-0010-0000-1B00-000008000000}" name="2021-22" dataDxfId="363" dataCellStyle="Normal 7"/>
    <tableColumn id="9" xr3:uid="{00000000-0010-0000-1B00-000009000000}" name="2022-23" dataDxfId="362" dataCellStyle="Normal 7"/>
    <tableColumn id="10" xr3:uid="{00000000-0010-0000-1B00-00000A000000}" name="2023-24" dataDxfId="361" dataCellStyle="Normal 7"/>
    <tableColumn id="11" xr3:uid="{00000000-0010-0000-1B00-00000B000000}" name="2024-25" dataDxfId="360" dataCellStyle="Normal 7"/>
    <tableColumn id="12" xr3:uid="{00000000-0010-0000-1B00-00000C000000}" name="2025-26" dataDxfId="359" dataCellStyle="Normal 7"/>
    <tableColumn id="13" xr3:uid="{00000000-0010-0000-1B00-00000D000000}" name="2026-27" dataDxfId="358" dataCellStyle="Normal 7"/>
    <tableColumn id="14" xr3:uid="{00000000-0010-0000-1B00-00000E000000}" name="2027-28" dataDxfId="357" dataCellStyle="Normal 7"/>
    <tableColumn id="15" xr3:uid="{00000000-0010-0000-1B00-00000F000000}" name="2028-29" dataDxfId="356" dataCellStyle="Normal 7"/>
    <tableColumn id="16" xr3:uid="{00000000-0010-0000-1B00-000010000000}" name="2029-30" dataDxfId="355" dataCellStyle="Normal 7"/>
    <tableColumn id="17" xr3:uid="{00000000-0010-0000-1B00-000011000000}" name="2030-31 _x000a_to _x000a_2034-35" dataDxfId="354" dataCellStyle="Normal 7"/>
    <tableColumn id="18" xr3:uid="{00000000-0010-0000-1B00-000012000000}" name="2035-36 _x000a_to _x000a_2039-40" dataDxfId="353" dataCellStyle="Normal 7"/>
    <tableColumn id="19" xr3:uid="{00000000-0010-0000-1B00-000013000000}" name="2040-41 _x000a_to _x000a_2044-45" dataDxfId="352" dataCellStyle="Normal 7"/>
    <tableColumn id="20" xr3:uid="{00000000-0010-0000-1B00-000014000000}" name="2045-46 _x000a_to _x000a_2049-50" dataDxfId="351" dataCellStyle="Normal 7"/>
    <tableColumn id="21" xr3:uid="{00000000-0010-0000-1B00-000015000000}" name="2050-51 _x000a_to _x000a_2054-55" dataDxfId="350" dataCellStyle="Normal 7"/>
    <tableColumn id="22" xr3:uid="{00000000-0010-0000-1B00-000016000000}" name="2055-56 _x000a_to _x000a_2059-60" dataDxfId="349" dataCellStyle="Normal 7"/>
    <tableColumn id="23" xr3:uid="{00000000-0010-0000-1B00-000017000000}" name="2060-61 _x000a_to _x000a_2064-65" dataDxfId="348" dataCellStyle="Normal 7"/>
    <tableColumn id="24" xr3:uid="{00000000-0010-0000-1B00-000018000000}" name="2065-66 _x000a_to _x000a_2069-70" dataDxfId="347" dataCellStyle="Normal 7"/>
    <tableColumn id="25" xr3:uid="{00000000-0010-0000-1B00-000019000000}" name="2070-71 _x000a_to _x000a_2074-75" dataDxfId="346" dataCellStyle="Normal 7"/>
    <tableColumn id="26" xr3:uid="{00000000-0010-0000-1B00-00001A000000}" name="2075-76 _x000a_to _x000a_2079-80" dataDxfId="345" dataCellStyle="Normal 7"/>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TBL8d_Total_Enhancement31" displayName="TBL8d_Total_Enhancement31" ref="B166:AA169" totalsRowShown="0" headerRowDxfId="344" dataDxfId="342" headerRowBorderDxfId="343" tableBorderDxfId="341" headerRowCellStyle="Normal 2 2 2" dataCellStyle="Normal 7">
  <autoFilter ref="B166:AA169" xr:uid="{00000000-0009-0000-0100-00001E000000}"/>
  <tableColumns count="26">
    <tableColumn id="1" xr3:uid="{00000000-0010-0000-1C00-000001000000}" name="Reference" dataDxfId="340" dataCellStyle="Normal 2 2 2"/>
    <tableColumn id="2" xr3:uid="{00000000-0010-0000-1C00-000002000000}" name="Expenditure element" dataDxfId="339" dataCellStyle="Normal 2 2 2"/>
    <tableColumn id="3" xr3:uid="{00000000-0010-0000-1C00-000003000000}" name="Expenditure type" dataDxfId="338" dataCellStyle="Normal 2 2 2"/>
    <tableColumn id="4" xr3:uid="{00000000-0010-0000-1C00-000004000000}" name="Unit" dataDxfId="337" dataCellStyle="Normal 2 2 2"/>
    <tableColumn id="5" xr3:uid="{00000000-0010-0000-1C00-000005000000}" name="Decimal places" dataDxfId="336" dataCellStyle="Normal 2 2 2"/>
    <tableColumn id="6" xr3:uid="{00000000-0010-0000-1C00-000006000000}" name="2019-20" dataDxfId="335" dataCellStyle="Normal 7"/>
    <tableColumn id="7" xr3:uid="{00000000-0010-0000-1C00-000007000000}" name="2020-21" dataDxfId="334" dataCellStyle="Normal 7"/>
    <tableColumn id="8" xr3:uid="{00000000-0010-0000-1C00-000008000000}" name="2021-22" dataDxfId="333" dataCellStyle="Normal 7"/>
    <tableColumn id="9" xr3:uid="{00000000-0010-0000-1C00-000009000000}" name="2022-23" dataDxfId="332" dataCellStyle="Normal 7"/>
    <tableColumn id="10" xr3:uid="{00000000-0010-0000-1C00-00000A000000}" name="2023-24" dataDxfId="331" dataCellStyle="Normal 7"/>
    <tableColumn id="11" xr3:uid="{00000000-0010-0000-1C00-00000B000000}" name="2024-25" dataDxfId="330" dataCellStyle="Normal 7"/>
    <tableColumn id="12" xr3:uid="{00000000-0010-0000-1C00-00000C000000}" name="2025-26" dataDxfId="329" dataCellStyle="Normal 7"/>
    <tableColumn id="13" xr3:uid="{00000000-0010-0000-1C00-00000D000000}" name="2026-27" dataDxfId="328" dataCellStyle="Normal 7"/>
    <tableColumn id="14" xr3:uid="{00000000-0010-0000-1C00-00000E000000}" name="2027-28" dataDxfId="327" dataCellStyle="Normal 7"/>
    <tableColumn id="15" xr3:uid="{00000000-0010-0000-1C00-00000F000000}" name="2028-29" dataDxfId="326" dataCellStyle="Normal 7"/>
    <tableColumn id="16" xr3:uid="{00000000-0010-0000-1C00-000010000000}" name="2029-30" dataDxfId="325" dataCellStyle="Normal 7"/>
    <tableColumn id="17" xr3:uid="{00000000-0010-0000-1C00-000011000000}" name="2030-31 _x000a_to _x000a_2034-35" dataDxfId="324" dataCellStyle="Normal 7"/>
    <tableColumn id="18" xr3:uid="{00000000-0010-0000-1C00-000012000000}" name="2035-36 _x000a_to _x000a_2039-40" dataDxfId="323" dataCellStyle="Normal 7"/>
    <tableColumn id="19" xr3:uid="{00000000-0010-0000-1C00-000013000000}" name="2040-41 _x000a_to _x000a_2044-45" dataDxfId="322" dataCellStyle="Normal 7"/>
    <tableColumn id="20" xr3:uid="{00000000-0010-0000-1C00-000014000000}" name="2045-46 _x000a_to _x000a_2049-50" dataDxfId="321" dataCellStyle="Normal 7"/>
    <tableColumn id="21" xr3:uid="{00000000-0010-0000-1C00-000015000000}" name="2050-51 _x000a_to _x000a_2054-55" dataDxfId="320" dataCellStyle="Normal 7"/>
    <tableColumn id="22" xr3:uid="{00000000-0010-0000-1C00-000016000000}" name="2055-56 _x000a_to _x000a_2059-60" dataDxfId="319" dataCellStyle="Normal 7"/>
    <tableColumn id="23" xr3:uid="{00000000-0010-0000-1C00-000017000000}" name="2060-61 _x000a_to _x000a_2064-65" dataDxfId="318" dataCellStyle="Normal 7"/>
    <tableColumn id="24" xr3:uid="{00000000-0010-0000-1C00-000018000000}" name="2065-66 _x000a_to _x000a_2069-70" dataDxfId="317" dataCellStyle="Normal 7"/>
    <tableColumn id="25" xr3:uid="{00000000-0010-0000-1C00-000019000000}" name="2070-71 _x000a_to _x000a_2074-75" dataDxfId="316" dataCellStyle="Normal 7"/>
    <tableColumn id="26" xr3:uid="{00000000-0010-0000-1C00-00001A000000}" name="2075-76 _x000a_to _x000a_2079-80" dataDxfId="315" dataCellStyle="Normal 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1c_UnusedLic" displayName="TBL1c_UnusedLic" ref="B51:L56" totalsRowShown="0" headerRowDxfId="1671" headerRowBorderDxfId="1670" tableBorderDxfId="1669" totalsRowBorderDxfId="1668" headerRowCellStyle="Normal 2">
  <autoFilter ref="B51:L56" xr:uid="{00000000-0009-0000-0100-000003000000}"/>
  <tableColumns count="11">
    <tableColumn id="2" xr3:uid="{00000000-0010-0000-0200-000002000000}" name="WRMP24 Reference" dataDxfId="1667"/>
    <tableColumn id="3" xr3:uid="{00000000-0010-0000-0200-000003000000}" name="Derivation" dataDxfId="1666"/>
    <tableColumn id="4" xr3:uid="{00000000-0010-0000-0200-000004000000}" name="Licence number" dataDxfId="1665"/>
    <tableColumn id="5" xr3:uid="{00000000-0010-0000-0200-000005000000}" name="Source name" dataDxfId="1664"/>
    <tableColumn id="6" xr3:uid="{00000000-0010-0000-0200-000006000000}" name="Source type" dataDxfId="1663"/>
    <tableColumn id="7" xr3:uid="{00000000-0010-0000-0200-000007000000}" name="WRZ Code" dataDxfId="1662"/>
    <tableColumn id="8" xr3:uid="{00000000-0010-0000-0200-000008000000}" name="DYAA deployable output (Ml/d)" dataDxfId="1661"/>
    <tableColumn id="1" xr3:uid="{00000000-0010-0000-0200-000001000000}" name="DYCP deployable output (Ml/d)" dataDxfId="1660">
      <calculatedColumnFormula>SUM(I53:I56)</calculatedColumnFormula>
    </tableColumn>
    <tableColumn id="9" xr3:uid="{00000000-0010-0000-0200-000009000000}" name="Annual licensed quantity (Ml/d)" dataDxfId="1659"/>
    <tableColumn id="10" xr3:uid="{00000000-0010-0000-0200-00000A000000}" name="Reason licence is unused" dataDxfId="1658"/>
    <tableColumn id="11" xr3:uid="{00000000-0010-0000-0200-00000B000000}" name="Additional notes (if desired)" dataDxfId="1657"/>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TBL8e_Supply_Demand_Benefit32" displayName="TBL8e_Supply_Demand_Benefit32" ref="B172:AA184" totalsRowShown="0" headerRowDxfId="314" dataDxfId="312" headerRowBorderDxfId="313" tableBorderDxfId="311" headerRowCellStyle="Normal 2 2 2" dataCellStyle="Normal 7">
  <autoFilter ref="B172:AA184" xr:uid="{00000000-0009-0000-0100-00001F000000}"/>
  <tableColumns count="26">
    <tableColumn id="1" xr3:uid="{00000000-0010-0000-1D00-000001000000}" name="Reference" dataDxfId="310" dataCellStyle="Normal 2 2 2"/>
    <tableColumn id="2" xr3:uid="{00000000-0010-0000-1D00-000002000000}" name="Benefit element" dataDxfId="309" dataCellStyle="Normal 2 2 2"/>
    <tableColumn id="3" xr3:uid="{00000000-0010-0000-1D00-000003000000}" name="Expenditure type" dataDxfId="308" dataCellStyle="Normal 2 2 2"/>
    <tableColumn id="4" xr3:uid="{00000000-0010-0000-1D00-000004000000}" name="Unit" dataDxfId="307" dataCellStyle="Normal 2 2 2"/>
    <tableColumn id="5" xr3:uid="{00000000-0010-0000-1D00-000005000000}" name="Decimal places" dataDxfId="306" dataCellStyle="Normal 2 2 2"/>
    <tableColumn id="6" xr3:uid="{00000000-0010-0000-1D00-000006000000}" name="2019-20" dataDxfId="305" dataCellStyle="Normal 7"/>
    <tableColumn id="7" xr3:uid="{00000000-0010-0000-1D00-000007000000}" name="2020-21" dataDxfId="304" dataCellStyle="Normal 7"/>
    <tableColumn id="8" xr3:uid="{00000000-0010-0000-1D00-000008000000}" name="2021-22" dataDxfId="303" dataCellStyle="Normal 7"/>
    <tableColumn id="9" xr3:uid="{00000000-0010-0000-1D00-000009000000}" name="2022-23" dataDxfId="302" dataCellStyle="Normal 7"/>
    <tableColumn id="10" xr3:uid="{00000000-0010-0000-1D00-00000A000000}" name="2023-24" dataDxfId="301" dataCellStyle="Normal 7"/>
    <tableColumn id="11" xr3:uid="{00000000-0010-0000-1D00-00000B000000}" name="2024-25" dataDxfId="300" dataCellStyle="Normal 7"/>
    <tableColumn id="12" xr3:uid="{00000000-0010-0000-1D00-00000C000000}" name="2025-26" dataDxfId="299" dataCellStyle="Normal 7"/>
    <tableColumn id="13" xr3:uid="{00000000-0010-0000-1D00-00000D000000}" name="2026-27" dataDxfId="298" dataCellStyle="Normal 7"/>
    <tableColumn id="14" xr3:uid="{00000000-0010-0000-1D00-00000E000000}" name="2027-28" dataDxfId="297" dataCellStyle="Normal 7"/>
    <tableColumn id="15" xr3:uid="{00000000-0010-0000-1D00-00000F000000}" name="2028-29" dataDxfId="296" dataCellStyle="Normal 7"/>
    <tableColumn id="16" xr3:uid="{00000000-0010-0000-1D00-000010000000}" name="2029-30" dataDxfId="295" dataCellStyle="Normal 7"/>
    <tableColumn id="17" xr3:uid="{00000000-0010-0000-1D00-000011000000}" name="2030-31 _x000a_to _x000a_2034-35" dataDxfId="294" dataCellStyle="Normal 7"/>
    <tableColumn id="18" xr3:uid="{00000000-0010-0000-1D00-000012000000}" name="2035-36 _x000a_to _x000a_2039-40" dataDxfId="293" dataCellStyle="Normal 7"/>
    <tableColumn id="19" xr3:uid="{00000000-0010-0000-1D00-000013000000}" name="2040-41 _x000a_to _x000a_2044-45" dataDxfId="292" dataCellStyle="Normal 7"/>
    <tableColumn id="20" xr3:uid="{00000000-0010-0000-1D00-000014000000}" name="2045-46 _x000a_to _x000a_2049-50" dataDxfId="291" dataCellStyle="Normal 7"/>
    <tableColumn id="21" xr3:uid="{00000000-0010-0000-1D00-000015000000}" name="2050-51 _x000a_to _x000a_2054-55" dataDxfId="290" dataCellStyle="Normal 7"/>
    <tableColumn id="22" xr3:uid="{00000000-0010-0000-1D00-000016000000}" name="2055-56 _x000a_to _x000a_2059-60" dataDxfId="289" dataCellStyle="Normal 7"/>
    <tableColumn id="23" xr3:uid="{00000000-0010-0000-1D00-000017000000}" name="2060-61 _x000a_to _x000a_2064-65" dataDxfId="288" dataCellStyle="Normal 7"/>
    <tableColumn id="24" xr3:uid="{00000000-0010-0000-1D00-000018000000}" name="2065-66 _x000a_to _x000a_2069-70" dataDxfId="287" dataCellStyle="Normal 7"/>
    <tableColumn id="25" xr3:uid="{00000000-0010-0000-1D00-000019000000}" name="2070-71 _x000a_to _x000a_2074-75" dataDxfId="286" dataCellStyle="Normal 7"/>
    <tableColumn id="26" xr3:uid="{00000000-0010-0000-1D00-00001A000000}" name="2075-76 _x000a_to _x000a_2079-80" dataDxfId="285" dataCellStyle="Normal 7"/>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TBL8f_Leakage_Totex33" displayName="TBL8f_Leakage_Totex33" ref="B187:AA189" totalsRowShown="0" headerRowDxfId="284" dataDxfId="282" headerRowBorderDxfId="283" tableBorderDxfId="281" headerRowCellStyle="Normal 2 2 2">
  <autoFilter ref="B187:AA189" xr:uid="{00000000-0009-0000-0100-000020000000}"/>
  <tableColumns count="26">
    <tableColumn id="1" xr3:uid="{00000000-0010-0000-1E00-000001000000}" name="Reference" dataDxfId="280"/>
    <tableColumn id="2" xr3:uid="{00000000-0010-0000-1E00-000002000000}" name="Expenditure element" dataDxfId="279"/>
    <tableColumn id="3" xr3:uid="{00000000-0010-0000-1E00-000003000000}" name="Expenditure type" dataDxfId="278"/>
    <tableColumn id="4" xr3:uid="{00000000-0010-0000-1E00-000004000000}" name="Unit" dataDxfId="277"/>
    <tableColumn id="5" xr3:uid="{00000000-0010-0000-1E00-000005000000}" name="Decimal places" dataDxfId="276"/>
    <tableColumn id="6" xr3:uid="{00000000-0010-0000-1E00-000006000000}" name="2019-20" dataDxfId="275"/>
    <tableColumn id="7" xr3:uid="{00000000-0010-0000-1E00-000007000000}" name="2020-21" dataDxfId="274"/>
    <tableColumn id="8" xr3:uid="{00000000-0010-0000-1E00-000008000000}" name="2021-22" dataDxfId="273"/>
    <tableColumn id="9" xr3:uid="{00000000-0010-0000-1E00-000009000000}" name="2022-23" dataDxfId="272"/>
    <tableColumn id="10" xr3:uid="{00000000-0010-0000-1E00-00000A000000}" name="2023-24" dataDxfId="271"/>
    <tableColumn id="11" xr3:uid="{00000000-0010-0000-1E00-00000B000000}" name="2024-25" dataDxfId="270" dataCellStyle="Normal 7"/>
    <tableColumn id="12" xr3:uid="{00000000-0010-0000-1E00-00000C000000}" name="2025-26" dataDxfId="269"/>
    <tableColumn id="13" xr3:uid="{00000000-0010-0000-1E00-00000D000000}" name="2026-27" dataDxfId="268"/>
    <tableColumn id="14" xr3:uid="{00000000-0010-0000-1E00-00000E000000}" name="2027-28" dataDxfId="267"/>
    <tableColumn id="15" xr3:uid="{00000000-0010-0000-1E00-00000F000000}" name="2028-29" dataDxfId="266"/>
    <tableColumn id="16" xr3:uid="{00000000-0010-0000-1E00-000010000000}" name="2029-30" dataDxfId="265"/>
    <tableColumn id="17" xr3:uid="{00000000-0010-0000-1E00-000011000000}" name="2030-31 _x000a_to _x000a_2034-35" dataDxfId="264"/>
    <tableColumn id="18" xr3:uid="{00000000-0010-0000-1E00-000012000000}" name="2035-36 _x000a_to _x000a_2039-40" dataDxfId="263"/>
    <tableColumn id="19" xr3:uid="{00000000-0010-0000-1E00-000013000000}" name="2040-41 _x000a_to _x000a_2044-45" dataDxfId="262"/>
    <tableColumn id="20" xr3:uid="{00000000-0010-0000-1E00-000014000000}" name="2045-46 _x000a_to _x000a_2049-50" dataDxfId="261"/>
    <tableColumn id="21" xr3:uid="{00000000-0010-0000-1E00-000015000000}" name="2050-51 _x000a_to _x000a_2054-55" dataDxfId="260"/>
    <tableColumn id="22" xr3:uid="{00000000-0010-0000-1E00-000016000000}" name="2055-56 _x000a_to _x000a_2059-60" dataDxfId="259"/>
    <tableColumn id="23" xr3:uid="{00000000-0010-0000-1E00-000017000000}" name="2060-61 _x000a_to _x000a_2064-65" dataDxfId="258"/>
    <tableColumn id="24" xr3:uid="{00000000-0010-0000-1E00-000018000000}" name="2065-66 _x000a_to _x000a_2069-70" dataDxfId="257"/>
    <tableColumn id="25" xr3:uid="{00000000-0010-0000-1E00-000019000000}" name="2070-71 _x000a_to _x000a_2074-75" dataDxfId="256"/>
    <tableColumn id="26" xr3:uid="{00000000-0010-0000-1E00-00001A000000}" name="2075-76 _x000a_to _x000a_2079-80" dataDxfId="255"/>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TBL8a_Base_Totex39" displayName="TBL8a_Base_Totex39" ref="B196:AA199" totalsRowShown="0" headerRowDxfId="254" dataDxfId="252" headerRowBorderDxfId="253" tableBorderDxfId="251" headerRowCellStyle="Normal 2 2 2">
  <autoFilter ref="B196:AA199" xr:uid="{00000000-0009-0000-0100-000026000000}"/>
  <tableColumns count="26">
    <tableColumn id="1" xr3:uid="{00000000-0010-0000-1F00-000001000000}" name="Reference" dataDxfId="250"/>
    <tableColumn id="2" xr3:uid="{00000000-0010-0000-1F00-000002000000}" name="Expenditure element" dataDxfId="249" dataCellStyle="Normal 2 2 2"/>
    <tableColumn id="3" xr3:uid="{00000000-0010-0000-1F00-000003000000}" name="Expenditure type" dataDxfId="248" dataCellStyle="Normal 2 2 2"/>
    <tableColumn id="4" xr3:uid="{00000000-0010-0000-1F00-000004000000}" name="Unit" dataDxfId="247" dataCellStyle="Normal 2 2 2"/>
    <tableColumn id="5" xr3:uid="{00000000-0010-0000-1F00-000005000000}" name="Decimal places" dataDxfId="246" dataCellStyle="Normal 2 2 2"/>
    <tableColumn id="6" xr3:uid="{00000000-0010-0000-1F00-000006000000}" name="2019-20" dataDxfId="245"/>
    <tableColumn id="7" xr3:uid="{00000000-0010-0000-1F00-000007000000}" name="2020-21" dataDxfId="244"/>
    <tableColumn id="8" xr3:uid="{00000000-0010-0000-1F00-000008000000}" name="2021-22" dataDxfId="243"/>
    <tableColumn id="9" xr3:uid="{00000000-0010-0000-1F00-000009000000}" name="2022-23" dataDxfId="242"/>
    <tableColumn id="10" xr3:uid="{00000000-0010-0000-1F00-00000A000000}" name="2023-24" dataDxfId="241"/>
    <tableColumn id="11" xr3:uid="{00000000-0010-0000-1F00-00000B000000}" name="2024-25" dataDxfId="240"/>
    <tableColumn id="12" xr3:uid="{00000000-0010-0000-1F00-00000C000000}" name="2025-26" dataDxfId="239"/>
    <tableColumn id="13" xr3:uid="{00000000-0010-0000-1F00-00000D000000}" name="2026-27" dataDxfId="238"/>
    <tableColumn id="14" xr3:uid="{00000000-0010-0000-1F00-00000E000000}" name="2027-28" dataDxfId="237"/>
    <tableColumn id="15" xr3:uid="{00000000-0010-0000-1F00-00000F000000}" name="2028-29" dataDxfId="236"/>
    <tableColumn id="16" xr3:uid="{00000000-0010-0000-1F00-000010000000}" name="2029-30" dataDxfId="235"/>
    <tableColumn id="17" xr3:uid="{00000000-0010-0000-1F00-000011000000}" name="2030-31 _x000a_to _x000a_2034-35" dataDxfId="234"/>
    <tableColumn id="18" xr3:uid="{00000000-0010-0000-1F00-000012000000}" name="2035-36 _x000a_to _x000a_2039-40" dataDxfId="233"/>
    <tableColumn id="19" xr3:uid="{00000000-0010-0000-1F00-000013000000}" name="2040-41 _x000a_to _x000a_2044-45" dataDxfId="232"/>
    <tableColumn id="20" xr3:uid="{00000000-0010-0000-1F00-000014000000}" name="2045-46 _x000a_to _x000a_2049-50" dataDxfId="231"/>
    <tableColumn id="21" xr3:uid="{00000000-0010-0000-1F00-000015000000}" name="2050-51 _x000a_to _x000a_2054-55" dataDxfId="230"/>
    <tableColumn id="22" xr3:uid="{00000000-0010-0000-1F00-000016000000}" name="2055-56 _x000a_to _x000a_2059-60" dataDxfId="229"/>
    <tableColumn id="23" xr3:uid="{00000000-0010-0000-1F00-000017000000}" name="2060-61 _x000a_to _x000a_2064-65" dataDxfId="228"/>
    <tableColumn id="24" xr3:uid="{00000000-0010-0000-1F00-000018000000}" name="2065-66 _x000a_to _x000a_2069-70" dataDxfId="227"/>
    <tableColumn id="25" xr3:uid="{00000000-0010-0000-1F00-000019000000}" name="2070-71 _x000a_to _x000a_2074-75" dataDxfId="226"/>
    <tableColumn id="26" xr3:uid="{00000000-0010-0000-1F00-00001A000000}" name="2075-76 _x000a_to _x000a_2079-80" dataDxfId="225"/>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TBL8b_SDB_Expenditure40" displayName="TBL8b_SDB_Expenditure40" ref="B202:AA218" totalsRowShown="0" headerRowDxfId="224" dataDxfId="222" headerRowBorderDxfId="223" tableBorderDxfId="221" headerRowCellStyle="Normal 2 2 2" dataCellStyle="Normal 7">
  <autoFilter ref="B202:AA218" xr:uid="{00000000-0009-0000-0100-000027000000}"/>
  <tableColumns count="26">
    <tableColumn id="1" xr3:uid="{00000000-0010-0000-2000-000001000000}" name="Reference" dataDxfId="220" dataCellStyle="Normal 2 2 2"/>
    <tableColumn id="2" xr3:uid="{00000000-0010-0000-2000-000002000000}" name="Expenditure element" dataDxfId="219" dataCellStyle="Normal 2 2 2"/>
    <tableColumn id="3" xr3:uid="{00000000-0010-0000-2000-000003000000}" name="Expenditure type" dataDxfId="218" dataCellStyle="Normal 2 2 2"/>
    <tableColumn id="4" xr3:uid="{00000000-0010-0000-2000-000004000000}" name="Unit" dataDxfId="217" dataCellStyle="Normal 2 2 2"/>
    <tableColumn id="5" xr3:uid="{00000000-0010-0000-2000-000005000000}" name="Decimal places" dataDxfId="216" dataCellStyle="Normal 2 2 2"/>
    <tableColumn id="6" xr3:uid="{00000000-0010-0000-2000-000006000000}" name="2019-20" dataDxfId="215" dataCellStyle="Normal 7"/>
    <tableColumn id="7" xr3:uid="{00000000-0010-0000-2000-000007000000}" name="2020-21" dataDxfId="214" dataCellStyle="Normal 7"/>
    <tableColumn id="8" xr3:uid="{00000000-0010-0000-2000-000008000000}" name="2021-22" dataDxfId="213" dataCellStyle="Normal 7"/>
    <tableColumn id="9" xr3:uid="{00000000-0010-0000-2000-000009000000}" name="2022-23" dataDxfId="212" dataCellStyle="Normal 7"/>
    <tableColumn id="10" xr3:uid="{00000000-0010-0000-2000-00000A000000}" name="2023-24" dataDxfId="211" dataCellStyle="Normal 7"/>
    <tableColumn id="11" xr3:uid="{00000000-0010-0000-2000-00000B000000}" name="2024-25" dataDxfId="210" dataCellStyle="Normal 7"/>
    <tableColumn id="12" xr3:uid="{00000000-0010-0000-2000-00000C000000}" name="2025-26" dataDxfId="209" dataCellStyle="Normal 7"/>
    <tableColumn id="13" xr3:uid="{00000000-0010-0000-2000-00000D000000}" name="2026-27" dataDxfId="208" dataCellStyle="Normal 7"/>
    <tableColumn id="14" xr3:uid="{00000000-0010-0000-2000-00000E000000}" name="2027-28" dataDxfId="207" dataCellStyle="Normal 7"/>
    <tableColumn id="15" xr3:uid="{00000000-0010-0000-2000-00000F000000}" name="2028-29" dataDxfId="206" dataCellStyle="Normal 7"/>
    <tableColumn id="16" xr3:uid="{00000000-0010-0000-2000-000010000000}" name="2029-30" dataDxfId="205" dataCellStyle="Normal 7"/>
    <tableColumn id="17" xr3:uid="{00000000-0010-0000-2000-000011000000}" name="2030-31 _x000a_to _x000a_2034-35" dataDxfId="204" dataCellStyle="Normal 7"/>
    <tableColumn id="18" xr3:uid="{00000000-0010-0000-2000-000012000000}" name="2035-36 _x000a_to _x000a_2039-40" dataDxfId="203" dataCellStyle="Normal 7"/>
    <tableColumn id="19" xr3:uid="{00000000-0010-0000-2000-000013000000}" name="2040-41 _x000a_to _x000a_2044-45" dataDxfId="202" dataCellStyle="Normal 7"/>
    <tableColumn id="20" xr3:uid="{00000000-0010-0000-2000-000014000000}" name="2045-46 _x000a_to _x000a_2049-50" dataDxfId="201" dataCellStyle="Normal 7"/>
    <tableColumn id="21" xr3:uid="{00000000-0010-0000-2000-000015000000}" name="2050-51 _x000a_to _x000a_2054-55" dataDxfId="200" dataCellStyle="Normal 7"/>
    <tableColumn id="22" xr3:uid="{00000000-0010-0000-2000-000016000000}" name="2055-56 _x000a_to _x000a_2059-60" dataDxfId="199" dataCellStyle="Normal 7"/>
    <tableColumn id="23" xr3:uid="{00000000-0010-0000-2000-000017000000}" name="2060-61 _x000a_to _x000a_2064-65" dataDxfId="198" dataCellStyle="Normal 7"/>
    <tableColumn id="24" xr3:uid="{00000000-0010-0000-2000-000018000000}" name="2065-66 _x000a_to _x000a_2069-70" dataDxfId="197" dataCellStyle="Normal 7"/>
    <tableColumn id="25" xr3:uid="{00000000-0010-0000-2000-000019000000}" name="2070-71 _x000a_to _x000a_2074-75" dataDxfId="196" dataCellStyle="Normal 7"/>
    <tableColumn id="26" xr3:uid="{00000000-0010-0000-2000-00001A000000}" name="2075-76 _x000a_to _x000a_2079-80" dataDxfId="195" dataCellStyle="Normal 7"/>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TBL8c_Metering_Expenditure41" displayName="TBL8c_Metering_Expenditure41" ref="B221:AA258" totalsRowShown="0" headerRowDxfId="194" dataDxfId="192" headerRowBorderDxfId="193" tableBorderDxfId="191" headerRowCellStyle="Normal 2 2 2" dataCellStyle="Normal 7">
  <autoFilter ref="B221:AA258" xr:uid="{00000000-0009-0000-0100-000028000000}"/>
  <tableColumns count="26">
    <tableColumn id="1" xr3:uid="{00000000-0010-0000-2100-000001000000}" name="Reference" dataDxfId="190" dataCellStyle="Normal 2 2 2"/>
    <tableColumn id="2" xr3:uid="{00000000-0010-0000-2100-000002000000}" name="Expenditure element" dataDxfId="189" dataCellStyle="Normal 2 2 2"/>
    <tableColumn id="3" xr3:uid="{00000000-0010-0000-2100-000003000000}" name="Expenditure type" dataDxfId="188" dataCellStyle="Normal 2 2 2"/>
    <tableColumn id="4" xr3:uid="{00000000-0010-0000-2100-000004000000}" name="Unit" dataDxfId="187" dataCellStyle="Normal 2 2 2"/>
    <tableColumn id="5" xr3:uid="{00000000-0010-0000-2100-000005000000}" name="Decimal places" dataDxfId="186" dataCellStyle="Normal 2 2 2"/>
    <tableColumn id="6" xr3:uid="{00000000-0010-0000-2100-000006000000}" name="2019-20" dataDxfId="185" dataCellStyle="Normal 7"/>
    <tableColumn id="7" xr3:uid="{00000000-0010-0000-2100-000007000000}" name="2020-21" dataDxfId="184" dataCellStyle="Normal 7"/>
    <tableColumn id="8" xr3:uid="{00000000-0010-0000-2100-000008000000}" name="2021-22" dataDxfId="183" dataCellStyle="Normal 7"/>
    <tableColumn id="9" xr3:uid="{00000000-0010-0000-2100-000009000000}" name="2022-23" dataDxfId="182" dataCellStyle="Normal 7"/>
    <tableColumn id="10" xr3:uid="{00000000-0010-0000-2100-00000A000000}" name="2023-24" dataDxfId="181" dataCellStyle="Normal 7"/>
    <tableColumn id="11" xr3:uid="{00000000-0010-0000-2100-00000B000000}" name="2024-25" dataDxfId="180" dataCellStyle="Normal 7"/>
    <tableColumn id="12" xr3:uid="{00000000-0010-0000-2100-00000C000000}" name="2025-26" dataDxfId="179" dataCellStyle="Normal 7"/>
    <tableColumn id="13" xr3:uid="{00000000-0010-0000-2100-00000D000000}" name="2026-27" dataDxfId="178" dataCellStyle="Normal 7"/>
    <tableColumn id="14" xr3:uid="{00000000-0010-0000-2100-00000E000000}" name="2027-28" dataDxfId="177" dataCellStyle="Normal 7"/>
    <tableColumn id="15" xr3:uid="{00000000-0010-0000-2100-00000F000000}" name="2028-29" dataDxfId="176" dataCellStyle="Normal 7"/>
    <tableColumn id="16" xr3:uid="{00000000-0010-0000-2100-000010000000}" name="2029-30" dataDxfId="175" dataCellStyle="Normal 7"/>
    <tableColumn id="17" xr3:uid="{00000000-0010-0000-2100-000011000000}" name="2030-31 _x000a_to _x000a_2034-35" dataDxfId="174" dataCellStyle="Normal 7"/>
    <tableColumn id="18" xr3:uid="{00000000-0010-0000-2100-000012000000}" name="2035-36 _x000a_to _x000a_2039-40" dataDxfId="173" dataCellStyle="Normal 7"/>
    <tableColumn id="19" xr3:uid="{00000000-0010-0000-2100-000013000000}" name="2040-41 _x000a_to _x000a_2044-45" dataDxfId="172" dataCellStyle="Normal 7"/>
    <tableColumn id="20" xr3:uid="{00000000-0010-0000-2100-000014000000}" name="2045-46 _x000a_to _x000a_2049-50" dataDxfId="171" dataCellStyle="Normal 7"/>
    <tableColumn id="21" xr3:uid="{00000000-0010-0000-2100-000015000000}" name="2050-51 _x000a_to _x000a_2054-55" dataDxfId="170" dataCellStyle="Normal 7"/>
    <tableColumn id="22" xr3:uid="{00000000-0010-0000-2100-000016000000}" name="2055-56 _x000a_to _x000a_2059-60" dataDxfId="169" dataCellStyle="Normal 7"/>
    <tableColumn id="23" xr3:uid="{00000000-0010-0000-2100-000017000000}" name="2060-61 _x000a_to _x000a_2064-65" dataDxfId="168" dataCellStyle="Normal 7"/>
    <tableColumn id="24" xr3:uid="{00000000-0010-0000-2100-000018000000}" name="2065-66 _x000a_to _x000a_2069-70" dataDxfId="167" dataCellStyle="Normal 7"/>
    <tableColumn id="25" xr3:uid="{00000000-0010-0000-2100-000019000000}" name="2070-71 _x000a_to _x000a_2074-75" dataDxfId="166" dataCellStyle="Normal 7"/>
    <tableColumn id="26" xr3:uid="{00000000-0010-0000-2100-00001A000000}" name="2075-76 _x000a_to _x000a_2079-80" dataDxfId="165" dataCellStyle="Normal 7"/>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2000000}" name="TBL8d_Total_Enhancement42" displayName="TBL8d_Total_Enhancement42" ref="B261:AA264" totalsRowShown="0" headerRowDxfId="164" dataDxfId="162" headerRowBorderDxfId="163" tableBorderDxfId="161" headerRowCellStyle="Normal 2 2 2" dataCellStyle="Normal 7">
  <autoFilter ref="B261:AA264" xr:uid="{00000000-0009-0000-0100-000029000000}"/>
  <tableColumns count="26">
    <tableColumn id="1" xr3:uid="{00000000-0010-0000-2200-000001000000}" name="Reference" dataDxfId="160" dataCellStyle="Normal 2 2 2"/>
    <tableColumn id="2" xr3:uid="{00000000-0010-0000-2200-000002000000}" name="Expenditure element" dataDxfId="159" dataCellStyle="Normal 2 2 2"/>
    <tableColumn id="3" xr3:uid="{00000000-0010-0000-2200-000003000000}" name="Expenditure type" dataDxfId="158" dataCellStyle="Normal 2 2 2"/>
    <tableColumn id="4" xr3:uid="{00000000-0010-0000-2200-000004000000}" name="Unit" dataDxfId="157" dataCellStyle="Normal 2 2 2"/>
    <tableColumn id="5" xr3:uid="{00000000-0010-0000-2200-000005000000}" name="Decimal places" dataDxfId="156" dataCellStyle="Normal 2 2 2"/>
    <tableColumn id="6" xr3:uid="{00000000-0010-0000-2200-000006000000}" name="2019-20" dataDxfId="155" dataCellStyle="Normal 7"/>
    <tableColumn id="7" xr3:uid="{00000000-0010-0000-2200-000007000000}" name="2020-21" dataDxfId="154" dataCellStyle="Normal 7"/>
    <tableColumn id="8" xr3:uid="{00000000-0010-0000-2200-000008000000}" name="2021-22" dataDxfId="153" dataCellStyle="Normal 7"/>
    <tableColumn id="9" xr3:uid="{00000000-0010-0000-2200-000009000000}" name="2022-23" dataDxfId="152" dataCellStyle="Normal 7"/>
    <tableColumn id="10" xr3:uid="{00000000-0010-0000-2200-00000A000000}" name="2023-24" dataDxfId="151" dataCellStyle="Normal 7"/>
    <tableColumn id="11" xr3:uid="{00000000-0010-0000-2200-00000B000000}" name="2024-25" dataDxfId="150" dataCellStyle="Normal 7"/>
    <tableColumn id="12" xr3:uid="{00000000-0010-0000-2200-00000C000000}" name="2025-26" dataDxfId="149" dataCellStyle="Normal 7"/>
    <tableColumn id="13" xr3:uid="{00000000-0010-0000-2200-00000D000000}" name="2026-27" dataDxfId="148" dataCellStyle="Normal 7"/>
    <tableColumn id="14" xr3:uid="{00000000-0010-0000-2200-00000E000000}" name="2027-28" dataDxfId="147" dataCellStyle="Normal 7"/>
    <tableColumn id="15" xr3:uid="{00000000-0010-0000-2200-00000F000000}" name="2028-29" dataDxfId="146" dataCellStyle="Normal 7"/>
    <tableColumn id="16" xr3:uid="{00000000-0010-0000-2200-000010000000}" name="2029-30" dataDxfId="145" dataCellStyle="Normal 7"/>
    <tableColumn id="17" xr3:uid="{00000000-0010-0000-2200-000011000000}" name="2030-31 _x000a_to _x000a_2034-35" dataDxfId="144" dataCellStyle="Normal 7"/>
    <tableColumn id="18" xr3:uid="{00000000-0010-0000-2200-000012000000}" name="2035-36 _x000a_to _x000a_2039-40" dataDxfId="143" dataCellStyle="Normal 7"/>
    <tableColumn id="19" xr3:uid="{00000000-0010-0000-2200-000013000000}" name="2040-41 _x000a_to _x000a_2044-45" dataDxfId="142" dataCellStyle="Normal 7"/>
    <tableColumn id="20" xr3:uid="{00000000-0010-0000-2200-000014000000}" name="2045-46 _x000a_to _x000a_2049-50" dataDxfId="141" dataCellStyle="Normal 7"/>
    <tableColumn id="21" xr3:uid="{00000000-0010-0000-2200-000015000000}" name="2050-51 _x000a_to _x000a_2054-55" dataDxfId="140" dataCellStyle="Normal 7"/>
    <tableColumn id="22" xr3:uid="{00000000-0010-0000-2200-000016000000}" name="2055-56 _x000a_to _x000a_2059-60" dataDxfId="139" dataCellStyle="Normal 7"/>
    <tableColumn id="23" xr3:uid="{00000000-0010-0000-2200-000017000000}" name="2060-61 _x000a_to _x000a_2064-65" dataDxfId="138" dataCellStyle="Normal 7"/>
    <tableColumn id="24" xr3:uid="{00000000-0010-0000-2200-000018000000}" name="2065-66 _x000a_to _x000a_2069-70" dataDxfId="137" dataCellStyle="Normal 7"/>
    <tableColumn id="25" xr3:uid="{00000000-0010-0000-2200-000019000000}" name="2070-71 _x000a_to _x000a_2074-75" dataDxfId="136" dataCellStyle="Normal 7"/>
    <tableColumn id="26" xr3:uid="{00000000-0010-0000-2200-00001A000000}" name="2075-76 _x000a_to _x000a_2079-80" dataDxfId="135" dataCellStyle="Normal 7"/>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3000000}" name="TBL8e_Supply_Demand_Benefit43" displayName="TBL8e_Supply_Demand_Benefit43" ref="B267:AA279" totalsRowShown="0" headerRowDxfId="134" dataDxfId="132" headerRowBorderDxfId="133" tableBorderDxfId="131" headerRowCellStyle="Normal 2 2 2" dataCellStyle="Normal 7">
  <autoFilter ref="B267:AA279" xr:uid="{00000000-0009-0000-0100-00002A000000}"/>
  <tableColumns count="26">
    <tableColumn id="1" xr3:uid="{00000000-0010-0000-2300-000001000000}" name="Reference" dataDxfId="130" dataCellStyle="Normal 2 2 2"/>
    <tableColumn id="2" xr3:uid="{00000000-0010-0000-2300-000002000000}" name="Benefit element" dataDxfId="129" dataCellStyle="Normal 2 2 2"/>
    <tableColumn id="3" xr3:uid="{00000000-0010-0000-2300-000003000000}" name="Expenditure type" dataDxfId="128" dataCellStyle="Normal 2 2 2"/>
    <tableColumn id="4" xr3:uid="{00000000-0010-0000-2300-000004000000}" name="Unit" dataDxfId="127" dataCellStyle="Normal 2 2 2"/>
    <tableColumn id="5" xr3:uid="{00000000-0010-0000-2300-000005000000}" name="Decimal places" dataDxfId="126" dataCellStyle="Normal 2 2 2"/>
    <tableColumn id="6" xr3:uid="{00000000-0010-0000-2300-000006000000}" name="2019-20" dataDxfId="125" dataCellStyle="Normal 7"/>
    <tableColumn id="7" xr3:uid="{00000000-0010-0000-2300-000007000000}" name="2020-21" dataDxfId="124" dataCellStyle="Normal 7"/>
    <tableColumn id="8" xr3:uid="{00000000-0010-0000-2300-000008000000}" name="2021-22" dataDxfId="123" dataCellStyle="Normal 7"/>
    <tableColumn id="9" xr3:uid="{00000000-0010-0000-2300-000009000000}" name="2022-23" dataDxfId="122" dataCellStyle="Normal 7"/>
    <tableColumn id="10" xr3:uid="{00000000-0010-0000-2300-00000A000000}" name="2023-24" dataDxfId="121" dataCellStyle="Normal 7"/>
    <tableColumn id="11" xr3:uid="{00000000-0010-0000-2300-00000B000000}" name="2024-25" dataDxfId="120" dataCellStyle="Normal 7"/>
    <tableColumn id="12" xr3:uid="{00000000-0010-0000-2300-00000C000000}" name="2025-26" dataDxfId="119" dataCellStyle="Normal 7"/>
    <tableColumn id="13" xr3:uid="{00000000-0010-0000-2300-00000D000000}" name="2026-27" dataDxfId="118" dataCellStyle="Normal 7"/>
    <tableColumn id="14" xr3:uid="{00000000-0010-0000-2300-00000E000000}" name="2027-28" dataDxfId="117" dataCellStyle="Normal 7"/>
    <tableColumn id="15" xr3:uid="{00000000-0010-0000-2300-00000F000000}" name="2028-29" dataDxfId="116" dataCellStyle="Normal 7"/>
    <tableColumn id="16" xr3:uid="{00000000-0010-0000-2300-000010000000}" name="2029-30" dataDxfId="115" dataCellStyle="Normal 7"/>
    <tableColumn id="17" xr3:uid="{00000000-0010-0000-2300-000011000000}" name="2030-31 _x000a_to _x000a_2034-35" dataDxfId="114" dataCellStyle="Normal 7"/>
    <tableColumn id="18" xr3:uid="{00000000-0010-0000-2300-000012000000}" name="2035-36 _x000a_to _x000a_2039-40" dataDxfId="113" dataCellStyle="Normal 7"/>
    <tableColumn id="19" xr3:uid="{00000000-0010-0000-2300-000013000000}" name="2040-41 _x000a_to _x000a_2044-45" dataDxfId="112" dataCellStyle="Normal 7"/>
    <tableColumn id="20" xr3:uid="{00000000-0010-0000-2300-000014000000}" name="2045-46 _x000a_to _x000a_2049-50" dataDxfId="111" dataCellStyle="Normal 7"/>
    <tableColumn id="21" xr3:uid="{00000000-0010-0000-2300-000015000000}" name="2050-51 _x000a_to _x000a_2054-55" dataDxfId="110" dataCellStyle="Normal 7"/>
    <tableColumn id="22" xr3:uid="{00000000-0010-0000-2300-000016000000}" name="2055-56 _x000a_to _x000a_2059-60" dataDxfId="109" dataCellStyle="Normal 7"/>
    <tableColumn id="23" xr3:uid="{00000000-0010-0000-2300-000017000000}" name="2060-61 _x000a_to _x000a_2064-65" dataDxfId="108" dataCellStyle="Normal 7"/>
    <tableColumn id="24" xr3:uid="{00000000-0010-0000-2300-000018000000}" name="2065-66 _x000a_to _x000a_2069-70" dataDxfId="107" dataCellStyle="Normal 7"/>
    <tableColumn id="25" xr3:uid="{00000000-0010-0000-2300-000019000000}" name="2070-71 _x000a_to _x000a_2074-75" dataDxfId="106" dataCellStyle="Normal 7"/>
    <tableColumn id="26" xr3:uid="{00000000-0010-0000-2300-00001A000000}" name="2075-76 _x000a_to _x000a_2079-80" dataDxfId="105" dataCellStyle="Normal 7"/>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4000000}" name="tblWRZ44" displayName="tblWRZ44" ref="E2:J133" totalsRowShown="0" headerRowDxfId="104" dataDxfId="102" headerRowBorderDxfId="103" tableBorderDxfId="101">
  <autoFilter ref="E2:J133" xr:uid="{00000000-0009-0000-0100-00002B000000}"/>
  <tableColumns count="6">
    <tableColumn id="1" xr3:uid="{00000000-0010-0000-2400-000001000000}" name="COMPANY" dataDxfId="100"/>
    <tableColumn id="2" xr3:uid="{00000000-0010-0000-2400-000002000000}" name="WRZ_NAME" dataDxfId="99"/>
    <tableColumn id="3" xr3:uid="{00000000-0010-0000-2400-000003000000}" name="RZ_ID" dataDxfId="98"/>
    <tableColumn id="4" xr3:uid="{00000000-0010-0000-2400-000004000000}" name="WC id" dataDxfId="97"/>
    <tableColumn id="5" xr3:uid="{00000000-0010-0000-2400-000005000000}" name="WRZ id" dataDxfId="96"/>
    <tableColumn id="6" xr3:uid="{00000000-0010-0000-2400-000006000000}" name="Combined id" dataDxfId="9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1d_DrouLic" displayName="TBL1d_DrouLic" ref="B60:L63" totalsRowShown="0" headerRowDxfId="1656" headerRowBorderDxfId="1655" tableBorderDxfId="1654" totalsRowBorderDxfId="1653" headerRowCellStyle="Normal 2">
  <autoFilter ref="B60:L63" xr:uid="{00000000-0009-0000-0100-000004000000}"/>
  <tableColumns count="11">
    <tableColumn id="2" xr3:uid="{00000000-0010-0000-0300-000002000000}" name="WRMP24 Reference" dataDxfId="1652"/>
    <tableColumn id="3" xr3:uid="{00000000-0010-0000-0300-000003000000}" name="Derivation" dataDxfId="1651"/>
    <tableColumn id="4" xr3:uid="{00000000-0010-0000-0300-000004000000}" name="Licence number" dataDxfId="1650"/>
    <tableColumn id="5" xr3:uid="{00000000-0010-0000-0300-000005000000}" name="Source name" dataDxfId="1649"/>
    <tableColumn id="6" xr3:uid="{00000000-0010-0000-0300-000006000000}" name="Source type" dataDxfId="1648"/>
    <tableColumn id="7" xr3:uid="{00000000-0010-0000-0300-000007000000}" name="WRZ Code" dataDxfId="1647"/>
    <tableColumn id="8" xr3:uid="{00000000-0010-0000-0300-000008000000}" name="DYAA deployable output (Ml/d)" dataDxfId="1646"/>
    <tableColumn id="1" xr3:uid="{00000000-0010-0000-0300-000001000000}" name="DYCP deployable output (Ml/d)" dataDxfId="1645">
      <calculatedColumnFormula>SUM(I62:I63)</calculatedColumnFormula>
    </tableColumn>
    <tableColumn id="9" xr3:uid="{00000000-0010-0000-0300-000009000000}" name="Annual licensed quantity (Ml/d)" dataDxfId="1644"/>
    <tableColumn id="10" xr3:uid="{00000000-0010-0000-0300-00000A000000}" name="Reason licence is unused" dataDxfId="1643"/>
    <tableColumn id="11" xr3:uid="{00000000-0010-0000-0300-00000B000000}" name="Additional notes (if desired)" dataDxfId="164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1e_NewLic" displayName="TBL1e_NewLic" ref="B67:L70" totalsRowShown="0" headerRowDxfId="1641" headerRowBorderDxfId="1640" tableBorderDxfId="1639" totalsRowBorderDxfId="1638" headerRowCellStyle="Normal 2">
  <autoFilter ref="B67:L70" xr:uid="{00000000-0009-0000-0100-000005000000}"/>
  <tableColumns count="11">
    <tableColumn id="2" xr3:uid="{00000000-0010-0000-0400-000002000000}" name="WRMP24 Reference"/>
    <tableColumn id="3" xr3:uid="{00000000-0010-0000-0400-000003000000}" name="Derivation"/>
    <tableColumn id="4" xr3:uid="{00000000-0010-0000-0400-000004000000}" name="Licence number"/>
    <tableColumn id="5" xr3:uid="{00000000-0010-0000-0400-000005000000}" name="Source name"/>
    <tableColumn id="6" xr3:uid="{00000000-0010-0000-0400-000006000000}" name="Source type"/>
    <tableColumn id="7" xr3:uid="{00000000-0010-0000-0400-000007000000}" name="WRZ Code" dataDxfId="1637"/>
    <tableColumn id="8" xr3:uid="{00000000-0010-0000-0400-000008000000}" name="DYAA deployable output (Ml/d)" dataDxfId="1636"/>
    <tableColumn id="1" xr3:uid="{00000000-0010-0000-0400-000001000000}" name="DYCP deployable output (Ml/d)" dataDxfId="1635">
      <calculatedColumnFormula>SUM(I69:I70)</calculatedColumnFormula>
    </tableColumn>
    <tableColumn id="9" xr3:uid="{00000000-0010-0000-0400-000009000000}" name="Annual licensed quantity (Ml/d)" dataDxfId="1634"/>
    <tableColumn id="10" xr3:uid="{00000000-0010-0000-0400-00000A000000}" name="Status of licence" dataDxfId="1633"/>
    <tableColumn id="11" xr3:uid="{00000000-0010-0000-0400-00000B000000}" name="Additional notes (if desired)"/>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BL1f_RawXfer" displayName="TBL1f_RawXfer" ref="B74:L77" totalsRowShown="0" headerRowDxfId="1632" tableBorderDxfId="1631" headerRowCellStyle="Normal 2">
  <autoFilter ref="B74:L77" xr:uid="{00000000-0009-0000-0100-000006000000}"/>
  <tableColumns count="11">
    <tableColumn id="2" xr3:uid="{00000000-0010-0000-0500-000002000000}" name="WRMP24 Reference"/>
    <tableColumn id="3" xr3:uid="{00000000-0010-0000-0500-000003000000}" name="Derivation"/>
    <tableColumn id="4" xr3:uid="{00000000-0010-0000-0500-000004000000}" name="Transfer name"/>
    <tableColumn id="5" xr3:uid="{00000000-0010-0000-0500-000005000000}" name="End date of agreement (dd/mm/yyyy)"/>
    <tableColumn id="6" xr3:uid="{00000000-0010-0000-0500-000006000000}" name="WRZ Code From"/>
    <tableColumn id="7" xr3:uid="{00000000-0010-0000-0500-000007000000}" name="WRZ Code To" dataDxfId="1630"/>
    <tableColumn id="8" xr3:uid="{00000000-0010-0000-0500-000008000000}" name="DYAA deployable output (Ml/d)" dataDxfId="1629"/>
    <tableColumn id="1" xr3:uid="{00000000-0010-0000-0500-000001000000}" name="DYCP deployable output (Ml/d)"/>
    <tableColumn id="9" xr3:uid="{00000000-0010-0000-0500-000009000000}" name="Annual limit (Ml/d)" dataDxfId="1628"/>
    <tableColumn id="10" xr3:uid="{00000000-0010-0000-0500-00000A000000}" name="Changes to agreement during drought" dataDxfId="1627"/>
    <tableColumn id="11" xr3:uid="{00000000-0010-0000-0500-00000B000000}" name="Additional notes (if desired)"/>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BL1g_PotXfer" displayName="TBL1g_PotXfer" ref="B81:L90" totalsRowShown="0" headerRowDxfId="1626" tableBorderDxfId="1625" headerRowCellStyle="Normal 2">
  <autoFilter ref="B81:L90" xr:uid="{00000000-0009-0000-0100-000007000000}"/>
  <tableColumns count="11">
    <tableColumn id="2" xr3:uid="{00000000-0010-0000-0600-000002000000}" name="WRMP24 Reference"/>
    <tableColumn id="3" xr3:uid="{00000000-0010-0000-0600-000003000000}" name="Derivation"/>
    <tableColumn id="4" xr3:uid="{00000000-0010-0000-0600-000004000000}" name="Transfer name"/>
    <tableColumn id="5" xr3:uid="{00000000-0010-0000-0600-000005000000}" name="End date of agreement (dd/mm/yyyy)"/>
    <tableColumn id="6" xr3:uid="{00000000-0010-0000-0600-000006000000}" name="WRZ Code From"/>
    <tableColumn id="7" xr3:uid="{00000000-0010-0000-0600-000007000000}" name="WRZ Code To" dataDxfId="1624"/>
    <tableColumn id="8" xr3:uid="{00000000-0010-0000-0600-000008000000}" name="DYAA deployable output (Ml/d)" dataDxfId="1623"/>
    <tableColumn id="1" xr3:uid="{00000000-0010-0000-0600-000001000000}" name="DYCP deployable output (Ml/d)"/>
    <tableColumn id="9" xr3:uid="{00000000-0010-0000-0600-000009000000}" name="Annual limit (Ml/d)" dataDxfId="1622"/>
    <tableColumn id="10" xr3:uid="{00000000-0010-0000-0600-00000A000000}" name="Changes to agreement during drought" dataDxfId="1621"/>
    <tableColumn id="11" xr3:uid="{00000000-0010-0000-0600-00000B000000}" name="Additional notes (if desired)"/>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BL2a_WCKey" displayName="TBL2a_WCKey" ref="B7:AF12" totalsRowShown="0" headerRowDxfId="1620" tableBorderDxfId="1619" headerRowCellStyle="Normal 2">
  <autoFilter ref="B7:AF12" xr:uid="{00000000-0009-0000-0100-000008000000}"/>
  <tableColumns count="31">
    <tableColumn id="1" xr3:uid="{00000000-0010-0000-0D00-000001000000}" name="WRMP24 Reference"/>
    <tableColumn id="2" xr3:uid="{00000000-0010-0000-0D00-000002000000}" name="Component"/>
    <tableColumn id="3" xr3:uid="{00000000-0010-0000-0D00-000003000000}" name="Derivation"/>
    <tableColumn id="4" xr3:uid="{00000000-0010-0000-0D00-000004000000}" name="Unit"/>
    <tableColumn id="5" xr3:uid="{00000000-0010-0000-0D00-000005000000}" name="Decimal places" dataDxfId="1618"/>
    <tableColumn id="6" xr3:uid="{00000000-0010-0000-0D00-000006000000}" name="2019-20" dataDxfId="1617"/>
    <tableColumn id="7" xr3:uid="{00000000-0010-0000-0D00-000007000000}" name="2020-21" dataDxfId="1616"/>
    <tableColumn id="8" xr3:uid="{00000000-0010-0000-0D00-000008000000}" name="2021-22" dataDxfId="1615"/>
    <tableColumn id="9" xr3:uid="{00000000-0010-0000-0D00-000009000000}" name="2022-23" dataDxfId="1614"/>
    <tableColumn id="10" xr3:uid="{00000000-0010-0000-0D00-00000A000000}" name="2023-24" dataDxfId="1613"/>
    <tableColumn id="11" xr3:uid="{00000000-0010-0000-0D00-00000B000000}" name="2024-25" dataDxfId="1612"/>
    <tableColumn id="12" xr3:uid="{00000000-0010-0000-0D00-00000C000000}" name="2025-26" dataDxfId="1611"/>
    <tableColumn id="13" xr3:uid="{00000000-0010-0000-0D00-00000D000000}" name="2026-27" dataDxfId="1610"/>
    <tableColumn id="14" xr3:uid="{00000000-0010-0000-0D00-00000E000000}" name="2027-28" dataDxfId="1609"/>
    <tableColumn id="15" xr3:uid="{00000000-0010-0000-0D00-00000F000000}" name="2028-29" dataDxfId="1608"/>
    <tableColumn id="16" xr3:uid="{00000000-0010-0000-0D00-000010000000}" name="2029-30" dataDxfId="1607"/>
    <tableColumn id="23" xr3:uid="{00000000-0010-0000-0D00-000017000000}" name="2034-35" dataDxfId="1606"/>
    <tableColumn id="24" xr3:uid="{00000000-0010-0000-0D00-000018000000}" name="2039-40" dataDxfId="1605"/>
    <tableColumn id="25" xr3:uid="{00000000-0010-0000-0D00-000019000000}" name="2044-45" dataDxfId="1604"/>
    <tableColumn id="26" xr3:uid="{00000000-0010-0000-0D00-00001A000000}" name="2049-50" dataDxfId="1603"/>
    <tableColumn id="27" xr3:uid="{00000000-0010-0000-0D00-00001B000000}" name="2054-55" dataDxfId="1602"/>
    <tableColumn id="28" xr3:uid="{00000000-0010-0000-0D00-00001C000000}" name="2059-60" dataDxfId="1601"/>
    <tableColumn id="20" xr3:uid="{00000000-0010-0000-0D00-000014000000}" name="2064-65" dataDxfId="1600"/>
    <tableColumn id="21" xr3:uid="{00000000-0010-0000-0D00-000015000000}" name="2069-70" dataDxfId="1599"/>
    <tableColumn id="22" xr3:uid="{00000000-0010-0000-0D00-000016000000}" name="2074-75" dataDxfId="1598"/>
    <tableColumn id="29" xr3:uid="{00000000-0010-0000-0D00-00001D000000}" name="2079-80" dataDxfId="1597"/>
    <tableColumn id="30" xr3:uid="{00000000-0010-0000-0D00-00001E000000}" name="2084-85" dataDxfId="1596"/>
    <tableColumn id="31" xr3:uid="{00000000-0010-0000-0D00-00001F000000}" name="2089-90" dataDxfId="1595"/>
    <tableColumn id="17" xr3:uid="{00000000-0010-0000-0D00-000011000000}" name="2094-95" dataDxfId="1594"/>
    <tableColumn id="18" xr3:uid="{00000000-0010-0000-0D00-000012000000}" name="2099-100" dataDxfId="1593"/>
    <tableColumn id="19" xr3:uid="{00000000-0010-0000-0D00-000013000000}" name="Leave Blank" dataDxfId="159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BL2b_WCMicroFP" displayName="TBL2b_WCMicroFP" ref="B18:CJ38" totalsRowShown="0" headerRowDxfId="1591" dataDxfId="1590" tableBorderDxfId="1589" headerRowCellStyle="Normal 2">
  <autoFilter ref="B18:CJ38" xr:uid="{00000000-0009-0000-0100-000009000000}"/>
  <tableColumns count="87">
    <tableColumn id="1" xr3:uid="{00000000-0010-0000-0E00-000001000000}" name="WRMP24 Reference" dataDxfId="1588"/>
    <tableColumn id="2" xr3:uid="{00000000-0010-0000-0E00-000002000000}" name="Component" dataDxfId="1587"/>
    <tableColumn id="3" xr3:uid="{00000000-0010-0000-0E00-000003000000}" name="Derivation" dataDxfId="1586"/>
    <tableColumn id="4" xr3:uid="{00000000-0010-0000-0E00-000004000000}" name="Unit" dataDxfId="1585"/>
    <tableColumn id="5" xr3:uid="{00000000-0010-0000-0E00-000005000000}" name="Decimal places" dataDxfId="1584"/>
    <tableColumn id="6" xr3:uid="{00000000-0010-0000-0E00-000006000000}" name="2019-20" dataDxfId="1583"/>
    <tableColumn id="7" xr3:uid="{00000000-0010-0000-0E00-000007000000}" name="2020-21" dataDxfId="1582"/>
    <tableColumn id="8" xr3:uid="{00000000-0010-0000-0E00-000008000000}" name="2021-22" dataDxfId="1581"/>
    <tableColumn id="9" xr3:uid="{00000000-0010-0000-0E00-000009000000}" name="2022-23" dataDxfId="1580"/>
    <tableColumn id="10" xr3:uid="{00000000-0010-0000-0E00-00000A000000}" name="2023-24" dataDxfId="1579"/>
    <tableColumn id="11" xr3:uid="{00000000-0010-0000-0E00-00000B000000}" name="2024-25" dataDxfId="1578"/>
    <tableColumn id="12" xr3:uid="{00000000-0010-0000-0E00-00000C000000}" name="2025-26" dataDxfId="1577"/>
    <tableColumn id="13" xr3:uid="{00000000-0010-0000-0E00-00000D000000}" name="2026-27" dataDxfId="1576"/>
    <tableColumn id="14" xr3:uid="{00000000-0010-0000-0E00-00000E000000}" name="2027-28" dataDxfId="1575"/>
    <tableColumn id="15" xr3:uid="{00000000-0010-0000-0E00-00000F000000}" name="2028-29" dataDxfId="1574"/>
    <tableColumn id="16" xr3:uid="{00000000-0010-0000-0E00-000010000000}" name="2029-30" dataDxfId="1573"/>
    <tableColumn id="17" xr3:uid="{00000000-0010-0000-0E00-000011000000}" name="2030-31" dataDxfId="1572"/>
    <tableColumn id="18" xr3:uid="{00000000-0010-0000-0E00-000012000000}" name="2031-32" dataDxfId="1571"/>
    <tableColumn id="19" xr3:uid="{00000000-0010-0000-0E00-000013000000}" name="2032-33" dataDxfId="1570"/>
    <tableColumn id="20" xr3:uid="{00000000-0010-0000-0E00-000014000000}" name="2033-34" dataDxfId="1569"/>
    <tableColumn id="21" xr3:uid="{00000000-0010-0000-0E00-000015000000}" name="2034-35" dataDxfId="1568"/>
    <tableColumn id="22" xr3:uid="{00000000-0010-0000-0E00-000016000000}" name="2035-36" dataDxfId="1567"/>
    <tableColumn id="23" xr3:uid="{00000000-0010-0000-0E00-000017000000}" name="2036-37" dataDxfId="1566"/>
    <tableColumn id="24" xr3:uid="{00000000-0010-0000-0E00-000018000000}" name="2037-38" dataDxfId="1565"/>
    <tableColumn id="25" xr3:uid="{00000000-0010-0000-0E00-000019000000}" name="2038-39" dataDxfId="1564"/>
    <tableColumn id="26" xr3:uid="{00000000-0010-0000-0E00-00001A000000}" name="2039-40" dataDxfId="1563"/>
    <tableColumn id="27" xr3:uid="{00000000-0010-0000-0E00-00001B000000}" name="2040-41" dataDxfId="1562"/>
    <tableColumn id="28" xr3:uid="{00000000-0010-0000-0E00-00001C000000}" name="2041-42" dataDxfId="1561"/>
    <tableColumn id="29" xr3:uid="{00000000-0010-0000-0E00-00001D000000}" name="2042-43" dataDxfId="1560"/>
    <tableColumn id="30" xr3:uid="{00000000-0010-0000-0E00-00001E000000}" name="2043-44" dataDxfId="1559"/>
    <tableColumn id="31" xr3:uid="{00000000-0010-0000-0E00-00001F000000}" name="2044-45" dataDxfId="1558"/>
    <tableColumn id="32" xr3:uid="{00000000-0010-0000-0E00-000020000000}" name="2045-46" dataDxfId="1557"/>
    <tableColumn id="33" xr3:uid="{00000000-0010-0000-0E00-000021000000}" name="2046-47" dataDxfId="1556"/>
    <tableColumn id="34" xr3:uid="{00000000-0010-0000-0E00-000022000000}" name="2047-48" dataDxfId="1555"/>
    <tableColumn id="35" xr3:uid="{00000000-0010-0000-0E00-000023000000}" name="2048-49" dataDxfId="1554"/>
    <tableColumn id="36" xr3:uid="{00000000-0010-0000-0E00-000024000000}" name="2049-50" dataDxfId="1553"/>
    <tableColumn id="37" xr3:uid="{00000000-0010-0000-0E00-000025000000}" name="2050-51" dataDxfId="1552"/>
    <tableColumn id="38" xr3:uid="{00000000-0010-0000-0E00-000026000000}" name="2051-52" dataDxfId="1551"/>
    <tableColumn id="39" xr3:uid="{00000000-0010-0000-0E00-000027000000}" name="2052-53" dataDxfId="1550"/>
    <tableColumn id="40" xr3:uid="{00000000-0010-0000-0E00-000028000000}" name="2053-54" dataDxfId="1549"/>
    <tableColumn id="41" xr3:uid="{00000000-0010-0000-0E00-000029000000}" name="2054-55" dataDxfId="1548"/>
    <tableColumn id="42" xr3:uid="{00000000-0010-0000-0E00-00002A000000}" name="2055-56" dataDxfId="1547"/>
    <tableColumn id="43" xr3:uid="{00000000-0010-0000-0E00-00002B000000}" name="2056-57" dataDxfId="1546"/>
    <tableColumn id="44" xr3:uid="{00000000-0010-0000-0E00-00002C000000}" name="2057-58" dataDxfId="1545"/>
    <tableColumn id="45" xr3:uid="{00000000-0010-0000-0E00-00002D000000}" name="2058-59" dataDxfId="1544"/>
    <tableColumn id="46" xr3:uid="{00000000-0010-0000-0E00-00002E000000}" name="2059-60" dataDxfId="1543"/>
    <tableColumn id="47" xr3:uid="{00000000-0010-0000-0E00-00002F000000}" name="2060-61" dataDxfId="1542"/>
    <tableColumn id="48" xr3:uid="{00000000-0010-0000-0E00-000030000000}" name="2061-62" dataDxfId="1541"/>
    <tableColumn id="49" xr3:uid="{00000000-0010-0000-0E00-000031000000}" name="2062-63" dataDxfId="1540"/>
    <tableColumn id="50" xr3:uid="{00000000-0010-0000-0E00-000032000000}" name="2063-64" dataDxfId="1539"/>
    <tableColumn id="51" xr3:uid="{00000000-0010-0000-0E00-000033000000}" name="2064-65" dataDxfId="1538"/>
    <tableColumn id="52" xr3:uid="{00000000-0010-0000-0E00-000034000000}" name="2065-66" dataDxfId="1537"/>
    <tableColumn id="53" xr3:uid="{00000000-0010-0000-0E00-000035000000}" name="2066-67" dataDxfId="1536"/>
    <tableColumn id="54" xr3:uid="{00000000-0010-0000-0E00-000036000000}" name="2067-68" dataDxfId="1535"/>
    <tableColumn id="55" xr3:uid="{00000000-0010-0000-0E00-000037000000}" name="2068-69" dataDxfId="1534"/>
    <tableColumn id="56" xr3:uid="{00000000-0010-0000-0E00-000038000000}" name="2069-70" dataDxfId="1533"/>
    <tableColumn id="57" xr3:uid="{00000000-0010-0000-0E00-000039000000}" name="2070-71" dataDxfId="1532"/>
    <tableColumn id="58" xr3:uid="{00000000-0010-0000-0E00-00003A000000}" name="2071-72" dataDxfId="1531"/>
    <tableColumn id="59" xr3:uid="{00000000-0010-0000-0E00-00003B000000}" name="2072-73" dataDxfId="1530"/>
    <tableColumn id="60" xr3:uid="{00000000-0010-0000-0E00-00003C000000}" name="2073-74" dataDxfId="1529"/>
    <tableColumn id="61" xr3:uid="{00000000-0010-0000-0E00-00003D000000}" name="2074-75" dataDxfId="1528"/>
    <tableColumn id="62" xr3:uid="{00000000-0010-0000-0E00-00003E000000}" name="2075-76" dataDxfId="1527"/>
    <tableColumn id="63" xr3:uid="{00000000-0010-0000-0E00-00003F000000}" name="2076-77" dataDxfId="1526"/>
    <tableColumn id="64" xr3:uid="{00000000-0010-0000-0E00-000040000000}" name="2077-78" dataDxfId="1525"/>
    <tableColumn id="65" xr3:uid="{00000000-0010-0000-0E00-000041000000}" name="2078-79" dataDxfId="1524"/>
    <tableColumn id="66" xr3:uid="{00000000-0010-0000-0E00-000042000000}" name="2079-80" dataDxfId="1523"/>
    <tableColumn id="67" xr3:uid="{00000000-0010-0000-0E00-000043000000}" name="2080-81" dataDxfId="1522"/>
    <tableColumn id="68" xr3:uid="{00000000-0010-0000-0E00-000044000000}" name="2081-82" dataDxfId="1521"/>
    <tableColumn id="69" xr3:uid="{00000000-0010-0000-0E00-000045000000}" name="2082-83" dataDxfId="1520"/>
    <tableColumn id="70" xr3:uid="{00000000-0010-0000-0E00-000046000000}" name="2083-84" dataDxfId="1519"/>
    <tableColumn id="71" xr3:uid="{00000000-0010-0000-0E00-000047000000}" name="2084-85" dataDxfId="1518"/>
    <tableColumn id="72" xr3:uid="{00000000-0010-0000-0E00-000048000000}" name="2085-86" dataDxfId="1517"/>
    <tableColumn id="73" xr3:uid="{00000000-0010-0000-0E00-000049000000}" name="2086-87" dataDxfId="1516"/>
    <tableColumn id="74" xr3:uid="{00000000-0010-0000-0E00-00004A000000}" name="2087-88" dataDxfId="1515"/>
    <tableColumn id="75" xr3:uid="{00000000-0010-0000-0E00-00004B000000}" name="2088-89" dataDxfId="1514"/>
    <tableColumn id="76" xr3:uid="{00000000-0010-0000-0E00-00004C000000}" name="2089-90" dataDxfId="1513"/>
    <tableColumn id="77" xr3:uid="{00000000-0010-0000-0E00-00004D000000}" name="2090-91" dataDxfId="1512"/>
    <tableColumn id="78" xr3:uid="{00000000-0010-0000-0E00-00004E000000}" name="2091-92" dataDxfId="1511"/>
    <tableColumn id="79" xr3:uid="{00000000-0010-0000-0E00-00004F000000}" name="2092-93" dataDxfId="1510"/>
    <tableColumn id="80" xr3:uid="{00000000-0010-0000-0E00-000050000000}" name="2093-94" dataDxfId="1509"/>
    <tableColumn id="81" xr3:uid="{00000000-0010-0000-0E00-000051000000}" name="2094-95" dataDxfId="1508"/>
    <tableColumn id="82" xr3:uid="{00000000-0010-0000-0E00-000052000000}" name="2095-96" dataDxfId="1507"/>
    <tableColumn id="83" xr3:uid="{00000000-0010-0000-0E00-000053000000}" name="2096-97" dataDxfId="1506"/>
    <tableColumn id="84" xr3:uid="{00000000-0010-0000-0E00-000054000000}" name="2097-98" dataDxfId="1505"/>
    <tableColumn id="85" xr3:uid="{00000000-0010-0000-0E00-000055000000}" name="2098-99" dataDxfId="1504"/>
    <tableColumn id="86" xr3:uid="{00000000-0010-0000-0E00-000056000000}" name="2099-100" dataDxfId="1503"/>
    <tableColumn id="87" xr3:uid="{00000000-0010-0000-0E00-000057000000}" name="2100-01" dataDxfId="150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repp@cyfoethnaturiolcymru.gov.uk" TargetMode="External"/><Relationship Id="rId1" Type="http://schemas.openxmlformats.org/officeDocument/2006/relationships/hyperlink" Target="mailto:water-company-plan@environment-agency.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table" Target="../tables/table26.xml"/><Relationship Id="rId13" Type="http://schemas.openxmlformats.org/officeDocument/2006/relationships/table" Target="../tables/table31.xml"/><Relationship Id="rId18" Type="http://schemas.openxmlformats.org/officeDocument/2006/relationships/table" Target="../tables/table36.xml"/><Relationship Id="rId3" Type="http://schemas.openxmlformats.org/officeDocument/2006/relationships/table" Target="../tables/table21.xml"/><Relationship Id="rId7" Type="http://schemas.openxmlformats.org/officeDocument/2006/relationships/table" Target="../tables/table25.xml"/><Relationship Id="rId12" Type="http://schemas.openxmlformats.org/officeDocument/2006/relationships/table" Target="../tables/table30.xml"/><Relationship Id="rId17" Type="http://schemas.openxmlformats.org/officeDocument/2006/relationships/table" Target="../tables/table35.xml"/><Relationship Id="rId2" Type="http://schemas.openxmlformats.org/officeDocument/2006/relationships/table" Target="../tables/table20.xml"/><Relationship Id="rId16" Type="http://schemas.openxmlformats.org/officeDocument/2006/relationships/table" Target="../tables/table34.xml"/><Relationship Id="rId1" Type="http://schemas.openxmlformats.org/officeDocument/2006/relationships/printerSettings" Target="../printerSettings/printerSettings10.bin"/><Relationship Id="rId6" Type="http://schemas.openxmlformats.org/officeDocument/2006/relationships/table" Target="../tables/table24.xml"/><Relationship Id="rId11" Type="http://schemas.openxmlformats.org/officeDocument/2006/relationships/table" Target="../tables/table29.xml"/><Relationship Id="rId5" Type="http://schemas.openxmlformats.org/officeDocument/2006/relationships/table" Target="../tables/table23.xml"/><Relationship Id="rId15" Type="http://schemas.openxmlformats.org/officeDocument/2006/relationships/table" Target="../tables/table33.xml"/><Relationship Id="rId10" Type="http://schemas.openxmlformats.org/officeDocument/2006/relationships/table" Target="../tables/table28.xml"/><Relationship Id="rId4" Type="http://schemas.openxmlformats.org/officeDocument/2006/relationships/table" Target="../tables/table22.xml"/><Relationship Id="rId9" Type="http://schemas.openxmlformats.org/officeDocument/2006/relationships/table" Target="../tables/table27.xml"/><Relationship Id="rId14" Type="http://schemas.openxmlformats.org/officeDocument/2006/relationships/table" Target="../tables/table3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comments" Target="../comments1.xml"/><Relationship Id="rId4" Type="http://schemas.openxmlformats.org/officeDocument/2006/relationships/table" Target="../tables/table2.xml"/><Relationship Id="rId9" Type="http://schemas.openxmlformats.org/officeDocument/2006/relationships/table" Target="../tables/table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vmlDrawing" Target="../drawings/vmlDrawing2.vml"/><Relationship Id="rId7" Type="http://schemas.openxmlformats.org/officeDocument/2006/relationships/table" Target="../tables/table1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table" Target="../tables/table14.xml"/><Relationship Id="rId5" Type="http://schemas.openxmlformats.org/officeDocument/2006/relationships/table" Target="../tables/table13.xml"/><Relationship Id="rId10" Type="http://schemas.openxmlformats.org/officeDocument/2006/relationships/comments" Target="../comments2.xml"/><Relationship Id="rId4" Type="http://schemas.openxmlformats.org/officeDocument/2006/relationships/table" Target="../tables/table12.xml"/><Relationship Id="rId9" Type="http://schemas.openxmlformats.org/officeDocument/2006/relationships/table" Target="../tables/table17.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53"/>
  <sheetViews>
    <sheetView showGridLines="0" tabSelected="1" zoomScale="85" zoomScaleNormal="85" workbookViewId="0">
      <selection activeCell="N21" sqref="N21"/>
    </sheetView>
  </sheetViews>
  <sheetFormatPr defaultColWidth="8.84375" defaultRowHeight="15.65" customHeight="1" x14ac:dyDescent="0.35"/>
  <cols>
    <col min="1" max="2" width="2.4609375" style="68" customWidth="1"/>
    <col min="3" max="4" width="26.84375" style="68" customWidth="1"/>
    <col min="5" max="7" width="2.4609375" style="68" customWidth="1"/>
    <col min="8" max="9" width="26.84375" style="68" customWidth="1"/>
    <col min="10" max="12" width="2.4609375" style="68" customWidth="1"/>
    <col min="13" max="14" width="26.84375" style="68" customWidth="1"/>
    <col min="15" max="17" width="2.4609375" style="68" customWidth="1"/>
    <col min="18" max="18" width="12" style="68" customWidth="1"/>
    <col min="19" max="19" width="83.84375" style="68" customWidth="1"/>
    <col min="20" max="20" width="16.15234375" style="68" customWidth="1"/>
    <col min="21" max="21" width="2.84375" style="68" customWidth="1"/>
    <col min="22" max="251" width="8.84375" style="68"/>
    <col min="252" max="252" width="2.53515625" style="68" customWidth="1"/>
    <col min="253" max="253" width="22.53515625" style="68" customWidth="1"/>
    <col min="254" max="254" width="7.84375" style="68" customWidth="1"/>
    <col min="255" max="255" width="26.84375" style="68" customWidth="1"/>
    <col min="256" max="256" width="18.53515625" style="68" customWidth="1"/>
    <col min="257" max="257" width="17.84375" style="68" customWidth="1"/>
    <col min="258" max="258" width="2.4609375" style="68" customWidth="1"/>
    <col min="259" max="259" width="7.53515625" style="68" customWidth="1"/>
    <col min="260" max="260" width="13.15234375" style="68" customWidth="1"/>
    <col min="261" max="261" width="2.15234375" style="68" customWidth="1"/>
    <col min="262" max="263" width="8.84375" style="68"/>
    <col min="264" max="264" width="8.15234375" style="68" bestFit="1" customWidth="1"/>
    <col min="265" max="507" width="8.84375" style="68"/>
    <col min="508" max="508" width="2.53515625" style="68" customWidth="1"/>
    <col min="509" max="509" width="22.53515625" style="68" customWidth="1"/>
    <col min="510" max="510" width="7.84375" style="68" customWidth="1"/>
    <col min="511" max="511" width="26.84375" style="68" customWidth="1"/>
    <col min="512" max="512" width="18.53515625" style="68" customWidth="1"/>
    <col min="513" max="513" width="17.84375" style="68" customWidth="1"/>
    <col min="514" max="514" width="2.4609375" style="68" customWidth="1"/>
    <col min="515" max="515" width="7.53515625" style="68" customWidth="1"/>
    <col min="516" max="516" width="13.15234375" style="68" customWidth="1"/>
    <col min="517" max="517" width="2.15234375" style="68" customWidth="1"/>
    <col min="518" max="519" width="8.84375" style="68"/>
    <col min="520" max="520" width="8.15234375" style="68" bestFit="1" customWidth="1"/>
    <col min="521" max="763" width="8.84375" style="68"/>
    <col min="764" max="764" width="2.53515625" style="68" customWidth="1"/>
    <col min="765" max="765" width="22.53515625" style="68" customWidth="1"/>
    <col min="766" max="766" width="7.84375" style="68" customWidth="1"/>
    <col min="767" max="767" width="26.84375" style="68" customWidth="1"/>
    <col min="768" max="768" width="18.53515625" style="68" customWidth="1"/>
    <col min="769" max="769" width="17.84375" style="68" customWidth="1"/>
    <col min="770" max="770" width="2.4609375" style="68" customWidth="1"/>
    <col min="771" max="771" width="7.53515625" style="68" customWidth="1"/>
    <col min="772" max="772" width="13.15234375" style="68" customWidth="1"/>
    <col min="773" max="773" width="2.15234375" style="68" customWidth="1"/>
    <col min="774" max="775" width="8.84375" style="68"/>
    <col min="776" max="776" width="8.15234375" style="68" bestFit="1" customWidth="1"/>
    <col min="777" max="1019" width="8.84375" style="68"/>
    <col min="1020" max="1020" width="2.53515625" style="68" customWidth="1"/>
    <col min="1021" max="1021" width="22.53515625" style="68" customWidth="1"/>
    <col min="1022" max="1022" width="7.84375" style="68" customWidth="1"/>
    <col min="1023" max="1023" width="26.84375" style="68" customWidth="1"/>
    <col min="1024" max="1024" width="18.53515625" style="68" customWidth="1"/>
    <col min="1025" max="1025" width="17.84375" style="68" customWidth="1"/>
    <col min="1026" max="1026" width="2.4609375" style="68" customWidth="1"/>
    <col min="1027" max="1027" width="7.53515625" style="68" customWidth="1"/>
    <col min="1028" max="1028" width="13.15234375" style="68" customWidth="1"/>
    <col min="1029" max="1029" width="2.15234375" style="68" customWidth="1"/>
    <col min="1030" max="1031" width="8.84375" style="68"/>
    <col min="1032" max="1032" width="8.15234375" style="68" bestFit="1" customWidth="1"/>
    <col min="1033" max="1275" width="8.84375" style="68"/>
    <col min="1276" max="1276" width="2.53515625" style="68" customWidth="1"/>
    <col min="1277" max="1277" width="22.53515625" style="68" customWidth="1"/>
    <col min="1278" max="1278" width="7.84375" style="68" customWidth="1"/>
    <col min="1279" max="1279" width="26.84375" style="68" customWidth="1"/>
    <col min="1280" max="1280" width="18.53515625" style="68" customWidth="1"/>
    <col min="1281" max="1281" width="17.84375" style="68" customWidth="1"/>
    <col min="1282" max="1282" width="2.4609375" style="68" customWidth="1"/>
    <col min="1283" max="1283" width="7.53515625" style="68" customWidth="1"/>
    <col min="1284" max="1284" width="13.15234375" style="68" customWidth="1"/>
    <col min="1285" max="1285" width="2.15234375" style="68" customWidth="1"/>
    <col min="1286" max="1287" width="8.84375" style="68"/>
    <col min="1288" max="1288" width="8.15234375" style="68" bestFit="1" customWidth="1"/>
    <col min="1289" max="1531" width="8.84375" style="68"/>
    <col min="1532" max="1532" width="2.53515625" style="68" customWidth="1"/>
    <col min="1533" max="1533" width="22.53515625" style="68" customWidth="1"/>
    <col min="1534" max="1534" width="7.84375" style="68" customWidth="1"/>
    <col min="1535" max="1535" width="26.84375" style="68" customWidth="1"/>
    <col min="1536" max="1536" width="18.53515625" style="68" customWidth="1"/>
    <col min="1537" max="1537" width="17.84375" style="68" customWidth="1"/>
    <col min="1538" max="1538" width="2.4609375" style="68" customWidth="1"/>
    <col min="1539" max="1539" width="7.53515625" style="68" customWidth="1"/>
    <col min="1540" max="1540" width="13.15234375" style="68" customWidth="1"/>
    <col min="1541" max="1541" width="2.15234375" style="68" customWidth="1"/>
    <col min="1542" max="1543" width="8.84375" style="68"/>
    <col min="1544" max="1544" width="8.15234375" style="68" bestFit="1" customWidth="1"/>
    <col min="1545" max="1787" width="8.84375" style="68"/>
    <col min="1788" max="1788" width="2.53515625" style="68" customWidth="1"/>
    <col min="1789" max="1789" width="22.53515625" style="68" customWidth="1"/>
    <col min="1790" max="1790" width="7.84375" style="68" customWidth="1"/>
    <col min="1791" max="1791" width="26.84375" style="68" customWidth="1"/>
    <col min="1792" max="1792" width="18.53515625" style="68" customWidth="1"/>
    <col min="1793" max="1793" width="17.84375" style="68" customWidth="1"/>
    <col min="1794" max="1794" width="2.4609375" style="68" customWidth="1"/>
    <col min="1795" max="1795" width="7.53515625" style="68" customWidth="1"/>
    <col min="1796" max="1796" width="13.15234375" style="68" customWidth="1"/>
    <col min="1797" max="1797" width="2.15234375" style="68" customWidth="1"/>
    <col min="1798" max="1799" width="8.84375" style="68"/>
    <col min="1800" max="1800" width="8.15234375" style="68" bestFit="1" customWidth="1"/>
    <col min="1801" max="2043" width="8.84375" style="68"/>
    <col min="2044" max="2044" width="2.53515625" style="68" customWidth="1"/>
    <col min="2045" max="2045" width="22.53515625" style="68" customWidth="1"/>
    <col min="2046" max="2046" width="7.84375" style="68" customWidth="1"/>
    <col min="2047" max="2047" width="26.84375" style="68" customWidth="1"/>
    <col min="2048" max="2048" width="18.53515625" style="68" customWidth="1"/>
    <col min="2049" max="2049" width="17.84375" style="68" customWidth="1"/>
    <col min="2050" max="2050" width="2.4609375" style="68" customWidth="1"/>
    <col min="2051" max="2051" width="7.53515625" style="68" customWidth="1"/>
    <col min="2052" max="2052" width="13.15234375" style="68" customWidth="1"/>
    <col min="2053" max="2053" width="2.15234375" style="68" customWidth="1"/>
    <col min="2054" max="2055" width="8.84375" style="68"/>
    <col min="2056" max="2056" width="8.15234375" style="68" bestFit="1" customWidth="1"/>
    <col min="2057" max="2299" width="8.84375" style="68"/>
    <col min="2300" max="2300" width="2.53515625" style="68" customWidth="1"/>
    <col min="2301" max="2301" width="22.53515625" style="68" customWidth="1"/>
    <col min="2302" max="2302" width="7.84375" style="68" customWidth="1"/>
    <col min="2303" max="2303" width="26.84375" style="68" customWidth="1"/>
    <col min="2304" max="2304" width="18.53515625" style="68" customWidth="1"/>
    <col min="2305" max="2305" width="17.84375" style="68" customWidth="1"/>
    <col min="2306" max="2306" width="2.4609375" style="68" customWidth="1"/>
    <col min="2307" max="2307" width="7.53515625" style="68" customWidth="1"/>
    <col min="2308" max="2308" width="13.15234375" style="68" customWidth="1"/>
    <col min="2309" max="2309" width="2.15234375" style="68" customWidth="1"/>
    <col min="2310" max="2311" width="8.84375" style="68"/>
    <col min="2312" max="2312" width="8.15234375" style="68" bestFit="1" customWidth="1"/>
    <col min="2313" max="2555" width="8.84375" style="68"/>
    <col min="2556" max="2556" width="2.53515625" style="68" customWidth="1"/>
    <col min="2557" max="2557" width="22.53515625" style="68" customWidth="1"/>
    <col min="2558" max="2558" width="7.84375" style="68" customWidth="1"/>
    <col min="2559" max="2559" width="26.84375" style="68" customWidth="1"/>
    <col min="2560" max="2560" width="18.53515625" style="68" customWidth="1"/>
    <col min="2561" max="2561" width="17.84375" style="68" customWidth="1"/>
    <col min="2562" max="2562" width="2.4609375" style="68" customWidth="1"/>
    <col min="2563" max="2563" width="7.53515625" style="68" customWidth="1"/>
    <col min="2564" max="2564" width="13.15234375" style="68" customWidth="1"/>
    <col min="2565" max="2565" width="2.15234375" style="68" customWidth="1"/>
    <col min="2566" max="2567" width="8.84375" style="68"/>
    <col min="2568" max="2568" width="8.15234375" style="68" bestFit="1" customWidth="1"/>
    <col min="2569" max="2811" width="8.84375" style="68"/>
    <col min="2812" max="2812" width="2.53515625" style="68" customWidth="1"/>
    <col min="2813" max="2813" width="22.53515625" style="68" customWidth="1"/>
    <col min="2814" max="2814" width="7.84375" style="68" customWidth="1"/>
    <col min="2815" max="2815" width="26.84375" style="68" customWidth="1"/>
    <col min="2816" max="2816" width="18.53515625" style="68" customWidth="1"/>
    <col min="2817" max="2817" width="17.84375" style="68" customWidth="1"/>
    <col min="2818" max="2818" width="2.4609375" style="68" customWidth="1"/>
    <col min="2819" max="2819" width="7.53515625" style="68" customWidth="1"/>
    <col min="2820" max="2820" width="13.15234375" style="68" customWidth="1"/>
    <col min="2821" max="2821" width="2.15234375" style="68" customWidth="1"/>
    <col min="2822" max="2823" width="8.84375" style="68"/>
    <col min="2824" max="2824" width="8.15234375" style="68" bestFit="1" customWidth="1"/>
    <col min="2825" max="3067" width="8.84375" style="68"/>
    <col min="3068" max="3068" width="2.53515625" style="68" customWidth="1"/>
    <col min="3069" max="3069" width="22.53515625" style="68" customWidth="1"/>
    <col min="3070" max="3070" width="7.84375" style="68" customWidth="1"/>
    <col min="3071" max="3071" width="26.84375" style="68" customWidth="1"/>
    <col min="3072" max="3072" width="18.53515625" style="68" customWidth="1"/>
    <col min="3073" max="3073" width="17.84375" style="68" customWidth="1"/>
    <col min="3074" max="3074" width="2.4609375" style="68" customWidth="1"/>
    <col min="3075" max="3075" width="7.53515625" style="68" customWidth="1"/>
    <col min="3076" max="3076" width="13.15234375" style="68" customWidth="1"/>
    <col min="3077" max="3077" width="2.15234375" style="68" customWidth="1"/>
    <col min="3078" max="3079" width="8.84375" style="68"/>
    <col min="3080" max="3080" width="8.15234375" style="68" bestFit="1" customWidth="1"/>
    <col min="3081" max="3323" width="8.84375" style="68"/>
    <col min="3324" max="3324" width="2.53515625" style="68" customWidth="1"/>
    <col min="3325" max="3325" width="22.53515625" style="68" customWidth="1"/>
    <col min="3326" max="3326" width="7.84375" style="68" customWidth="1"/>
    <col min="3327" max="3327" width="26.84375" style="68" customWidth="1"/>
    <col min="3328" max="3328" width="18.53515625" style="68" customWidth="1"/>
    <col min="3329" max="3329" width="17.84375" style="68" customWidth="1"/>
    <col min="3330" max="3330" width="2.4609375" style="68" customWidth="1"/>
    <col min="3331" max="3331" width="7.53515625" style="68" customWidth="1"/>
    <col min="3332" max="3332" width="13.15234375" style="68" customWidth="1"/>
    <col min="3333" max="3333" width="2.15234375" style="68" customWidth="1"/>
    <col min="3334" max="3335" width="8.84375" style="68"/>
    <col min="3336" max="3336" width="8.15234375" style="68" bestFit="1" customWidth="1"/>
    <col min="3337" max="3579" width="8.84375" style="68"/>
    <col min="3580" max="3580" width="2.53515625" style="68" customWidth="1"/>
    <col min="3581" max="3581" width="22.53515625" style="68" customWidth="1"/>
    <col min="3582" max="3582" width="7.84375" style="68" customWidth="1"/>
    <col min="3583" max="3583" width="26.84375" style="68" customWidth="1"/>
    <col min="3584" max="3584" width="18.53515625" style="68" customWidth="1"/>
    <col min="3585" max="3585" width="17.84375" style="68" customWidth="1"/>
    <col min="3586" max="3586" width="2.4609375" style="68" customWidth="1"/>
    <col min="3587" max="3587" width="7.53515625" style="68" customWidth="1"/>
    <col min="3588" max="3588" width="13.15234375" style="68" customWidth="1"/>
    <col min="3589" max="3589" width="2.15234375" style="68" customWidth="1"/>
    <col min="3590" max="3591" width="8.84375" style="68"/>
    <col min="3592" max="3592" width="8.15234375" style="68" bestFit="1" customWidth="1"/>
    <col min="3593" max="3835" width="8.84375" style="68"/>
    <col min="3836" max="3836" width="2.53515625" style="68" customWidth="1"/>
    <col min="3837" max="3837" width="22.53515625" style="68" customWidth="1"/>
    <col min="3838" max="3838" width="7.84375" style="68" customWidth="1"/>
    <col min="3839" max="3839" width="26.84375" style="68" customWidth="1"/>
    <col min="3840" max="3840" width="18.53515625" style="68" customWidth="1"/>
    <col min="3841" max="3841" width="17.84375" style="68" customWidth="1"/>
    <col min="3842" max="3842" width="2.4609375" style="68" customWidth="1"/>
    <col min="3843" max="3843" width="7.53515625" style="68" customWidth="1"/>
    <col min="3844" max="3844" width="13.15234375" style="68" customWidth="1"/>
    <col min="3845" max="3845" width="2.15234375" style="68" customWidth="1"/>
    <col min="3846" max="3847" width="8.84375" style="68"/>
    <col min="3848" max="3848" width="8.15234375" style="68" bestFit="1" customWidth="1"/>
    <col min="3849" max="4091" width="8.84375" style="68"/>
    <col min="4092" max="4092" width="2.53515625" style="68" customWidth="1"/>
    <col min="4093" max="4093" width="22.53515625" style="68" customWidth="1"/>
    <col min="4094" max="4094" width="7.84375" style="68" customWidth="1"/>
    <col min="4095" max="4095" width="26.84375" style="68" customWidth="1"/>
    <col min="4096" max="4096" width="18.53515625" style="68" customWidth="1"/>
    <col min="4097" max="4097" width="17.84375" style="68" customWidth="1"/>
    <col min="4098" max="4098" width="2.4609375" style="68" customWidth="1"/>
    <col min="4099" max="4099" width="7.53515625" style="68" customWidth="1"/>
    <col min="4100" max="4100" width="13.15234375" style="68" customWidth="1"/>
    <col min="4101" max="4101" width="2.15234375" style="68" customWidth="1"/>
    <col min="4102" max="4103" width="8.84375" style="68"/>
    <col min="4104" max="4104" width="8.15234375" style="68" bestFit="1" customWidth="1"/>
    <col min="4105" max="4347" width="8.84375" style="68"/>
    <col min="4348" max="4348" width="2.53515625" style="68" customWidth="1"/>
    <col min="4349" max="4349" width="22.53515625" style="68" customWidth="1"/>
    <col min="4350" max="4350" width="7.84375" style="68" customWidth="1"/>
    <col min="4351" max="4351" width="26.84375" style="68" customWidth="1"/>
    <col min="4352" max="4352" width="18.53515625" style="68" customWidth="1"/>
    <col min="4353" max="4353" width="17.84375" style="68" customWidth="1"/>
    <col min="4354" max="4354" width="2.4609375" style="68" customWidth="1"/>
    <col min="4355" max="4355" width="7.53515625" style="68" customWidth="1"/>
    <col min="4356" max="4356" width="13.15234375" style="68" customWidth="1"/>
    <col min="4357" max="4357" width="2.15234375" style="68" customWidth="1"/>
    <col min="4358" max="4359" width="8.84375" style="68"/>
    <col min="4360" max="4360" width="8.15234375" style="68" bestFit="1" customWidth="1"/>
    <col min="4361" max="4603" width="8.84375" style="68"/>
    <col min="4604" max="4604" width="2.53515625" style="68" customWidth="1"/>
    <col min="4605" max="4605" width="22.53515625" style="68" customWidth="1"/>
    <col min="4606" max="4606" width="7.84375" style="68" customWidth="1"/>
    <col min="4607" max="4607" width="26.84375" style="68" customWidth="1"/>
    <col min="4608" max="4608" width="18.53515625" style="68" customWidth="1"/>
    <col min="4609" max="4609" width="17.84375" style="68" customWidth="1"/>
    <col min="4610" max="4610" width="2.4609375" style="68" customWidth="1"/>
    <col min="4611" max="4611" width="7.53515625" style="68" customWidth="1"/>
    <col min="4612" max="4612" width="13.15234375" style="68" customWidth="1"/>
    <col min="4613" max="4613" width="2.15234375" style="68" customWidth="1"/>
    <col min="4614" max="4615" width="8.84375" style="68"/>
    <col min="4616" max="4616" width="8.15234375" style="68" bestFit="1" customWidth="1"/>
    <col min="4617" max="4859" width="8.84375" style="68"/>
    <col min="4860" max="4860" width="2.53515625" style="68" customWidth="1"/>
    <col min="4861" max="4861" width="22.53515625" style="68" customWidth="1"/>
    <col min="4862" max="4862" width="7.84375" style="68" customWidth="1"/>
    <col min="4863" max="4863" width="26.84375" style="68" customWidth="1"/>
    <col min="4864" max="4864" width="18.53515625" style="68" customWidth="1"/>
    <col min="4865" max="4865" width="17.84375" style="68" customWidth="1"/>
    <col min="4866" max="4866" width="2.4609375" style="68" customWidth="1"/>
    <col min="4867" max="4867" width="7.53515625" style="68" customWidth="1"/>
    <col min="4868" max="4868" width="13.15234375" style="68" customWidth="1"/>
    <col min="4869" max="4869" width="2.15234375" style="68" customWidth="1"/>
    <col min="4870" max="4871" width="8.84375" style="68"/>
    <col min="4872" max="4872" width="8.15234375" style="68" bestFit="1" customWidth="1"/>
    <col min="4873" max="5115" width="8.84375" style="68"/>
    <col min="5116" max="5116" width="2.53515625" style="68" customWidth="1"/>
    <col min="5117" max="5117" width="22.53515625" style="68" customWidth="1"/>
    <col min="5118" max="5118" width="7.84375" style="68" customWidth="1"/>
    <col min="5119" max="5119" width="26.84375" style="68" customWidth="1"/>
    <col min="5120" max="5120" width="18.53515625" style="68" customWidth="1"/>
    <col min="5121" max="5121" width="17.84375" style="68" customWidth="1"/>
    <col min="5122" max="5122" width="2.4609375" style="68" customWidth="1"/>
    <col min="5123" max="5123" width="7.53515625" style="68" customWidth="1"/>
    <col min="5124" max="5124" width="13.15234375" style="68" customWidth="1"/>
    <col min="5125" max="5125" width="2.15234375" style="68" customWidth="1"/>
    <col min="5126" max="5127" width="8.84375" style="68"/>
    <col min="5128" max="5128" width="8.15234375" style="68" bestFit="1" customWidth="1"/>
    <col min="5129" max="5371" width="8.84375" style="68"/>
    <col min="5372" max="5372" width="2.53515625" style="68" customWidth="1"/>
    <col min="5373" max="5373" width="22.53515625" style="68" customWidth="1"/>
    <col min="5374" max="5374" width="7.84375" style="68" customWidth="1"/>
    <col min="5375" max="5375" width="26.84375" style="68" customWidth="1"/>
    <col min="5376" max="5376" width="18.53515625" style="68" customWidth="1"/>
    <col min="5377" max="5377" width="17.84375" style="68" customWidth="1"/>
    <col min="5378" max="5378" width="2.4609375" style="68" customWidth="1"/>
    <col min="5379" max="5379" width="7.53515625" style="68" customWidth="1"/>
    <col min="5380" max="5380" width="13.15234375" style="68" customWidth="1"/>
    <col min="5381" max="5381" width="2.15234375" style="68" customWidth="1"/>
    <col min="5382" max="5383" width="8.84375" style="68"/>
    <col min="5384" max="5384" width="8.15234375" style="68" bestFit="1" customWidth="1"/>
    <col min="5385" max="5627" width="8.84375" style="68"/>
    <col min="5628" max="5628" width="2.53515625" style="68" customWidth="1"/>
    <col min="5629" max="5629" width="22.53515625" style="68" customWidth="1"/>
    <col min="5630" max="5630" width="7.84375" style="68" customWidth="1"/>
    <col min="5631" max="5631" width="26.84375" style="68" customWidth="1"/>
    <col min="5632" max="5632" width="18.53515625" style="68" customWidth="1"/>
    <col min="5633" max="5633" width="17.84375" style="68" customWidth="1"/>
    <col min="5634" max="5634" width="2.4609375" style="68" customWidth="1"/>
    <col min="5635" max="5635" width="7.53515625" style="68" customWidth="1"/>
    <col min="5636" max="5636" width="13.15234375" style="68" customWidth="1"/>
    <col min="5637" max="5637" width="2.15234375" style="68" customWidth="1"/>
    <col min="5638" max="5639" width="8.84375" style="68"/>
    <col min="5640" max="5640" width="8.15234375" style="68" bestFit="1" customWidth="1"/>
    <col min="5641" max="5883" width="8.84375" style="68"/>
    <col min="5884" max="5884" width="2.53515625" style="68" customWidth="1"/>
    <col min="5885" max="5885" width="22.53515625" style="68" customWidth="1"/>
    <col min="5886" max="5886" width="7.84375" style="68" customWidth="1"/>
    <col min="5887" max="5887" width="26.84375" style="68" customWidth="1"/>
    <col min="5888" max="5888" width="18.53515625" style="68" customWidth="1"/>
    <col min="5889" max="5889" width="17.84375" style="68" customWidth="1"/>
    <col min="5890" max="5890" width="2.4609375" style="68" customWidth="1"/>
    <col min="5891" max="5891" width="7.53515625" style="68" customWidth="1"/>
    <col min="5892" max="5892" width="13.15234375" style="68" customWidth="1"/>
    <col min="5893" max="5893" width="2.15234375" style="68" customWidth="1"/>
    <col min="5894" max="5895" width="8.84375" style="68"/>
    <col min="5896" max="5896" width="8.15234375" style="68" bestFit="1" customWidth="1"/>
    <col min="5897" max="6139" width="8.84375" style="68"/>
    <col min="6140" max="6140" width="2.53515625" style="68" customWidth="1"/>
    <col min="6141" max="6141" width="22.53515625" style="68" customWidth="1"/>
    <col min="6142" max="6142" width="7.84375" style="68" customWidth="1"/>
    <col min="6143" max="6143" width="26.84375" style="68" customWidth="1"/>
    <col min="6144" max="6144" width="18.53515625" style="68" customWidth="1"/>
    <col min="6145" max="6145" width="17.84375" style="68" customWidth="1"/>
    <col min="6146" max="6146" width="2.4609375" style="68" customWidth="1"/>
    <col min="6147" max="6147" width="7.53515625" style="68" customWidth="1"/>
    <col min="6148" max="6148" width="13.15234375" style="68" customWidth="1"/>
    <col min="6149" max="6149" width="2.15234375" style="68" customWidth="1"/>
    <col min="6150" max="6151" width="8.84375" style="68"/>
    <col min="6152" max="6152" width="8.15234375" style="68" bestFit="1" customWidth="1"/>
    <col min="6153" max="6395" width="8.84375" style="68"/>
    <col min="6396" max="6396" width="2.53515625" style="68" customWidth="1"/>
    <col min="6397" max="6397" width="22.53515625" style="68" customWidth="1"/>
    <col min="6398" max="6398" width="7.84375" style="68" customWidth="1"/>
    <col min="6399" max="6399" width="26.84375" style="68" customWidth="1"/>
    <col min="6400" max="6400" width="18.53515625" style="68" customWidth="1"/>
    <col min="6401" max="6401" width="17.84375" style="68" customWidth="1"/>
    <col min="6402" max="6402" width="2.4609375" style="68" customWidth="1"/>
    <col min="6403" max="6403" width="7.53515625" style="68" customWidth="1"/>
    <col min="6404" max="6404" width="13.15234375" style="68" customWidth="1"/>
    <col min="6405" max="6405" width="2.15234375" style="68" customWidth="1"/>
    <col min="6406" max="6407" width="8.84375" style="68"/>
    <col min="6408" max="6408" width="8.15234375" style="68" bestFit="1" customWidth="1"/>
    <col min="6409" max="6651" width="8.84375" style="68"/>
    <col min="6652" max="6652" width="2.53515625" style="68" customWidth="1"/>
    <col min="6653" max="6653" width="22.53515625" style="68" customWidth="1"/>
    <col min="6654" max="6654" width="7.84375" style="68" customWidth="1"/>
    <col min="6655" max="6655" width="26.84375" style="68" customWidth="1"/>
    <col min="6656" max="6656" width="18.53515625" style="68" customWidth="1"/>
    <col min="6657" max="6657" width="17.84375" style="68" customWidth="1"/>
    <col min="6658" max="6658" width="2.4609375" style="68" customWidth="1"/>
    <col min="6659" max="6659" width="7.53515625" style="68" customWidth="1"/>
    <col min="6660" max="6660" width="13.15234375" style="68" customWidth="1"/>
    <col min="6661" max="6661" width="2.15234375" style="68" customWidth="1"/>
    <col min="6662" max="6663" width="8.84375" style="68"/>
    <col min="6664" max="6664" width="8.15234375" style="68" bestFit="1" customWidth="1"/>
    <col min="6665" max="6907" width="8.84375" style="68"/>
    <col min="6908" max="6908" width="2.53515625" style="68" customWidth="1"/>
    <col min="6909" max="6909" width="22.53515625" style="68" customWidth="1"/>
    <col min="6910" max="6910" width="7.84375" style="68" customWidth="1"/>
    <col min="6911" max="6911" width="26.84375" style="68" customWidth="1"/>
    <col min="6912" max="6912" width="18.53515625" style="68" customWidth="1"/>
    <col min="6913" max="6913" width="17.84375" style="68" customWidth="1"/>
    <col min="6914" max="6914" width="2.4609375" style="68" customWidth="1"/>
    <col min="6915" max="6915" width="7.53515625" style="68" customWidth="1"/>
    <col min="6916" max="6916" width="13.15234375" style="68" customWidth="1"/>
    <col min="6917" max="6917" width="2.15234375" style="68" customWidth="1"/>
    <col min="6918" max="6919" width="8.84375" style="68"/>
    <col min="6920" max="6920" width="8.15234375" style="68" bestFit="1" customWidth="1"/>
    <col min="6921" max="7163" width="8.84375" style="68"/>
    <col min="7164" max="7164" width="2.53515625" style="68" customWidth="1"/>
    <col min="7165" max="7165" width="22.53515625" style="68" customWidth="1"/>
    <col min="7166" max="7166" width="7.84375" style="68" customWidth="1"/>
    <col min="7167" max="7167" width="26.84375" style="68" customWidth="1"/>
    <col min="7168" max="7168" width="18.53515625" style="68" customWidth="1"/>
    <col min="7169" max="7169" width="17.84375" style="68" customWidth="1"/>
    <col min="7170" max="7170" width="2.4609375" style="68" customWidth="1"/>
    <col min="7171" max="7171" width="7.53515625" style="68" customWidth="1"/>
    <col min="7172" max="7172" width="13.15234375" style="68" customWidth="1"/>
    <col min="7173" max="7173" width="2.15234375" style="68" customWidth="1"/>
    <col min="7174" max="7175" width="8.84375" style="68"/>
    <col min="7176" max="7176" width="8.15234375" style="68" bestFit="1" customWidth="1"/>
    <col min="7177" max="7419" width="8.84375" style="68"/>
    <col min="7420" max="7420" width="2.53515625" style="68" customWidth="1"/>
    <col min="7421" max="7421" width="22.53515625" style="68" customWidth="1"/>
    <col min="7422" max="7422" width="7.84375" style="68" customWidth="1"/>
    <col min="7423" max="7423" width="26.84375" style="68" customWidth="1"/>
    <col min="7424" max="7424" width="18.53515625" style="68" customWidth="1"/>
    <col min="7425" max="7425" width="17.84375" style="68" customWidth="1"/>
    <col min="7426" max="7426" width="2.4609375" style="68" customWidth="1"/>
    <col min="7427" max="7427" width="7.53515625" style="68" customWidth="1"/>
    <col min="7428" max="7428" width="13.15234375" style="68" customWidth="1"/>
    <col min="7429" max="7429" width="2.15234375" style="68" customWidth="1"/>
    <col min="7430" max="7431" width="8.84375" style="68"/>
    <col min="7432" max="7432" width="8.15234375" style="68" bestFit="1" customWidth="1"/>
    <col min="7433" max="7675" width="8.84375" style="68"/>
    <col min="7676" max="7676" width="2.53515625" style="68" customWidth="1"/>
    <col min="7677" max="7677" width="22.53515625" style="68" customWidth="1"/>
    <col min="7678" max="7678" width="7.84375" style="68" customWidth="1"/>
    <col min="7679" max="7679" width="26.84375" style="68" customWidth="1"/>
    <col min="7680" max="7680" width="18.53515625" style="68" customWidth="1"/>
    <col min="7681" max="7681" width="17.84375" style="68" customWidth="1"/>
    <col min="7682" max="7682" width="2.4609375" style="68" customWidth="1"/>
    <col min="7683" max="7683" width="7.53515625" style="68" customWidth="1"/>
    <col min="7684" max="7684" width="13.15234375" style="68" customWidth="1"/>
    <col min="7685" max="7685" width="2.15234375" style="68" customWidth="1"/>
    <col min="7686" max="7687" width="8.84375" style="68"/>
    <col min="7688" max="7688" width="8.15234375" style="68" bestFit="1" customWidth="1"/>
    <col min="7689" max="7931" width="8.84375" style="68"/>
    <col min="7932" max="7932" width="2.53515625" style="68" customWidth="1"/>
    <col min="7933" max="7933" width="22.53515625" style="68" customWidth="1"/>
    <col min="7934" max="7934" width="7.84375" style="68" customWidth="1"/>
    <col min="7935" max="7935" width="26.84375" style="68" customWidth="1"/>
    <col min="7936" max="7936" width="18.53515625" style="68" customWidth="1"/>
    <col min="7937" max="7937" width="17.84375" style="68" customWidth="1"/>
    <col min="7938" max="7938" width="2.4609375" style="68" customWidth="1"/>
    <col min="7939" max="7939" width="7.53515625" style="68" customWidth="1"/>
    <col min="7940" max="7940" width="13.15234375" style="68" customWidth="1"/>
    <col min="7941" max="7941" width="2.15234375" style="68" customWidth="1"/>
    <col min="7942" max="7943" width="8.84375" style="68"/>
    <col min="7944" max="7944" width="8.15234375" style="68" bestFit="1" customWidth="1"/>
    <col min="7945" max="8187" width="8.84375" style="68"/>
    <col min="8188" max="8188" width="2.53515625" style="68" customWidth="1"/>
    <col min="8189" max="8189" width="22.53515625" style="68" customWidth="1"/>
    <col min="8190" max="8190" width="7.84375" style="68" customWidth="1"/>
    <col min="8191" max="8191" width="26.84375" style="68" customWidth="1"/>
    <col min="8192" max="8192" width="18.53515625" style="68" customWidth="1"/>
    <col min="8193" max="8193" width="17.84375" style="68" customWidth="1"/>
    <col min="8194" max="8194" width="2.4609375" style="68" customWidth="1"/>
    <col min="8195" max="8195" width="7.53515625" style="68" customWidth="1"/>
    <col min="8196" max="8196" width="13.15234375" style="68" customWidth="1"/>
    <col min="8197" max="8197" width="2.15234375" style="68" customWidth="1"/>
    <col min="8198" max="8199" width="8.84375" style="68"/>
    <col min="8200" max="8200" width="8.15234375" style="68" bestFit="1" customWidth="1"/>
    <col min="8201" max="8443" width="8.84375" style="68"/>
    <col min="8444" max="8444" width="2.53515625" style="68" customWidth="1"/>
    <col min="8445" max="8445" width="22.53515625" style="68" customWidth="1"/>
    <col min="8446" max="8446" width="7.84375" style="68" customWidth="1"/>
    <col min="8447" max="8447" width="26.84375" style="68" customWidth="1"/>
    <col min="8448" max="8448" width="18.53515625" style="68" customWidth="1"/>
    <col min="8449" max="8449" width="17.84375" style="68" customWidth="1"/>
    <col min="8450" max="8450" width="2.4609375" style="68" customWidth="1"/>
    <col min="8451" max="8451" width="7.53515625" style="68" customWidth="1"/>
    <col min="8452" max="8452" width="13.15234375" style="68" customWidth="1"/>
    <col min="8453" max="8453" width="2.15234375" style="68" customWidth="1"/>
    <col min="8454" max="8455" width="8.84375" style="68"/>
    <col min="8456" max="8456" width="8.15234375" style="68" bestFit="1" customWidth="1"/>
    <col min="8457" max="8699" width="8.84375" style="68"/>
    <col min="8700" max="8700" width="2.53515625" style="68" customWidth="1"/>
    <col min="8701" max="8701" width="22.53515625" style="68" customWidth="1"/>
    <col min="8702" max="8702" width="7.84375" style="68" customWidth="1"/>
    <col min="8703" max="8703" width="26.84375" style="68" customWidth="1"/>
    <col min="8704" max="8704" width="18.53515625" style="68" customWidth="1"/>
    <col min="8705" max="8705" width="17.84375" style="68" customWidth="1"/>
    <col min="8706" max="8706" width="2.4609375" style="68" customWidth="1"/>
    <col min="8707" max="8707" width="7.53515625" style="68" customWidth="1"/>
    <col min="8708" max="8708" width="13.15234375" style="68" customWidth="1"/>
    <col min="8709" max="8709" width="2.15234375" style="68" customWidth="1"/>
    <col min="8710" max="8711" width="8.84375" style="68"/>
    <col min="8712" max="8712" width="8.15234375" style="68" bestFit="1" customWidth="1"/>
    <col min="8713" max="8955" width="8.84375" style="68"/>
    <col min="8956" max="8956" width="2.53515625" style="68" customWidth="1"/>
    <col min="8957" max="8957" width="22.53515625" style="68" customWidth="1"/>
    <col min="8958" max="8958" width="7.84375" style="68" customWidth="1"/>
    <col min="8959" max="8959" width="26.84375" style="68" customWidth="1"/>
    <col min="8960" max="8960" width="18.53515625" style="68" customWidth="1"/>
    <col min="8961" max="8961" width="17.84375" style="68" customWidth="1"/>
    <col min="8962" max="8962" width="2.4609375" style="68" customWidth="1"/>
    <col min="8963" max="8963" width="7.53515625" style="68" customWidth="1"/>
    <col min="8964" max="8964" width="13.15234375" style="68" customWidth="1"/>
    <col min="8965" max="8965" width="2.15234375" style="68" customWidth="1"/>
    <col min="8966" max="8967" width="8.84375" style="68"/>
    <col min="8968" max="8968" width="8.15234375" style="68" bestFit="1" customWidth="1"/>
    <col min="8969" max="9211" width="8.84375" style="68"/>
    <col min="9212" max="9212" width="2.53515625" style="68" customWidth="1"/>
    <col min="9213" max="9213" width="22.53515625" style="68" customWidth="1"/>
    <col min="9214" max="9214" width="7.84375" style="68" customWidth="1"/>
    <col min="9215" max="9215" width="26.84375" style="68" customWidth="1"/>
    <col min="9216" max="9216" width="18.53515625" style="68" customWidth="1"/>
    <col min="9217" max="9217" width="17.84375" style="68" customWidth="1"/>
    <col min="9218" max="9218" width="2.4609375" style="68" customWidth="1"/>
    <col min="9219" max="9219" width="7.53515625" style="68" customWidth="1"/>
    <col min="9220" max="9220" width="13.15234375" style="68" customWidth="1"/>
    <col min="9221" max="9221" width="2.15234375" style="68" customWidth="1"/>
    <col min="9222" max="9223" width="8.84375" style="68"/>
    <col min="9224" max="9224" width="8.15234375" style="68" bestFit="1" customWidth="1"/>
    <col min="9225" max="9467" width="8.84375" style="68"/>
    <col min="9468" max="9468" width="2.53515625" style="68" customWidth="1"/>
    <col min="9469" max="9469" width="22.53515625" style="68" customWidth="1"/>
    <col min="9470" max="9470" width="7.84375" style="68" customWidth="1"/>
    <col min="9471" max="9471" width="26.84375" style="68" customWidth="1"/>
    <col min="9472" max="9472" width="18.53515625" style="68" customWidth="1"/>
    <col min="9473" max="9473" width="17.84375" style="68" customWidth="1"/>
    <col min="9474" max="9474" width="2.4609375" style="68" customWidth="1"/>
    <col min="9475" max="9475" width="7.53515625" style="68" customWidth="1"/>
    <col min="9476" max="9476" width="13.15234375" style="68" customWidth="1"/>
    <col min="9477" max="9477" width="2.15234375" style="68" customWidth="1"/>
    <col min="9478" max="9479" width="8.84375" style="68"/>
    <col min="9480" max="9480" width="8.15234375" style="68" bestFit="1" customWidth="1"/>
    <col min="9481" max="9723" width="8.84375" style="68"/>
    <col min="9724" max="9724" width="2.53515625" style="68" customWidth="1"/>
    <col min="9725" max="9725" width="22.53515625" style="68" customWidth="1"/>
    <col min="9726" max="9726" width="7.84375" style="68" customWidth="1"/>
    <col min="9727" max="9727" width="26.84375" style="68" customWidth="1"/>
    <col min="9728" max="9728" width="18.53515625" style="68" customWidth="1"/>
    <col min="9729" max="9729" width="17.84375" style="68" customWidth="1"/>
    <col min="9730" max="9730" width="2.4609375" style="68" customWidth="1"/>
    <col min="9731" max="9731" width="7.53515625" style="68" customWidth="1"/>
    <col min="9732" max="9732" width="13.15234375" style="68" customWidth="1"/>
    <col min="9733" max="9733" width="2.15234375" style="68" customWidth="1"/>
    <col min="9734" max="9735" width="8.84375" style="68"/>
    <col min="9736" max="9736" width="8.15234375" style="68" bestFit="1" customWidth="1"/>
    <col min="9737" max="9979" width="8.84375" style="68"/>
    <col min="9980" max="9980" width="2.53515625" style="68" customWidth="1"/>
    <col min="9981" max="9981" width="22.53515625" style="68" customWidth="1"/>
    <col min="9982" max="9982" width="7.84375" style="68" customWidth="1"/>
    <col min="9983" max="9983" width="26.84375" style="68" customWidth="1"/>
    <col min="9984" max="9984" width="18.53515625" style="68" customWidth="1"/>
    <col min="9985" max="9985" width="17.84375" style="68" customWidth="1"/>
    <col min="9986" max="9986" width="2.4609375" style="68" customWidth="1"/>
    <col min="9987" max="9987" width="7.53515625" style="68" customWidth="1"/>
    <col min="9988" max="9988" width="13.15234375" style="68" customWidth="1"/>
    <col min="9989" max="9989" width="2.15234375" style="68" customWidth="1"/>
    <col min="9990" max="9991" width="8.84375" style="68"/>
    <col min="9992" max="9992" width="8.15234375" style="68" bestFit="1" customWidth="1"/>
    <col min="9993" max="10235" width="8.84375" style="68"/>
    <col min="10236" max="10236" width="2.53515625" style="68" customWidth="1"/>
    <col min="10237" max="10237" width="22.53515625" style="68" customWidth="1"/>
    <col min="10238" max="10238" width="7.84375" style="68" customWidth="1"/>
    <col min="10239" max="10239" width="26.84375" style="68" customWidth="1"/>
    <col min="10240" max="10240" width="18.53515625" style="68" customWidth="1"/>
    <col min="10241" max="10241" width="17.84375" style="68" customWidth="1"/>
    <col min="10242" max="10242" width="2.4609375" style="68" customWidth="1"/>
    <col min="10243" max="10243" width="7.53515625" style="68" customWidth="1"/>
    <col min="10244" max="10244" width="13.15234375" style="68" customWidth="1"/>
    <col min="10245" max="10245" width="2.15234375" style="68" customWidth="1"/>
    <col min="10246" max="10247" width="8.84375" style="68"/>
    <col min="10248" max="10248" width="8.15234375" style="68" bestFit="1" customWidth="1"/>
    <col min="10249" max="10491" width="8.84375" style="68"/>
    <col min="10492" max="10492" width="2.53515625" style="68" customWidth="1"/>
    <col min="10493" max="10493" width="22.53515625" style="68" customWidth="1"/>
    <col min="10494" max="10494" width="7.84375" style="68" customWidth="1"/>
    <col min="10495" max="10495" width="26.84375" style="68" customWidth="1"/>
    <col min="10496" max="10496" width="18.53515625" style="68" customWidth="1"/>
    <col min="10497" max="10497" width="17.84375" style="68" customWidth="1"/>
    <col min="10498" max="10498" width="2.4609375" style="68" customWidth="1"/>
    <col min="10499" max="10499" width="7.53515625" style="68" customWidth="1"/>
    <col min="10500" max="10500" width="13.15234375" style="68" customWidth="1"/>
    <col min="10501" max="10501" width="2.15234375" style="68" customWidth="1"/>
    <col min="10502" max="10503" width="8.84375" style="68"/>
    <col min="10504" max="10504" width="8.15234375" style="68" bestFit="1" customWidth="1"/>
    <col min="10505" max="10747" width="8.84375" style="68"/>
    <col min="10748" max="10748" width="2.53515625" style="68" customWidth="1"/>
    <col min="10749" max="10749" width="22.53515625" style="68" customWidth="1"/>
    <col min="10750" max="10750" width="7.84375" style="68" customWidth="1"/>
    <col min="10751" max="10751" width="26.84375" style="68" customWidth="1"/>
    <col min="10752" max="10752" width="18.53515625" style="68" customWidth="1"/>
    <col min="10753" max="10753" width="17.84375" style="68" customWidth="1"/>
    <col min="10754" max="10754" width="2.4609375" style="68" customWidth="1"/>
    <col min="10755" max="10755" width="7.53515625" style="68" customWidth="1"/>
    <col min="10756" max="10756" width="13.15234375" style="68" customWidth="1"/>
    <col min="10757" max="10757" width="2.15234375" style="68" customWidth="1"/>
    <col min="10758" max="10759" width="8.84375" style="68"/>
    <col min="10760" max="10760" width="8.15234375" style="68" bestFit="1" customWidth="1"/>
    <col min="10761" max="11003" width="8.84375" style="68"/>
    <col min="11004" max="11004" width="2.53515625" style="68" customWidth="1"/>
    <col min="11005" max="11005" width="22.53515625" style="68" customWidth="1"/>
    <col min="11006" max="11006" width="7.84375" style="68" customWidth="1"/>
    <col min="11007" max="11007" width="26.84375" style="68" customWidth="1"/>
    <col min="11008" max="11008" width="18.53515625" style="68" customWidth="1"/>
    <col min="11009" max="11009" width="17.84375" style="68" customWidth="1"/>
    <col min="11010" max="11010" width="2.4609375" style="68" customWidth="1"/>
    <col min="11011" max="11011" width="7.53515625" style="68" customWidth="1"/>
    <col min="11012" max="11012" width="13.15234375" style="68" customWidth="1"/>
    <col min="11013" max="11013" width="2.15234375" style="68" customWidth="1"/>
    <col min="11014" max="11015" width="8.84375" style="68"/>
    <col min="11016" max="11016" width="8.15234375" style="68" bestFit="1" customWidth="1"/>
    <col min="11017" max="11259" width="8.84375" style="68"/>
    <col min="11260" max="11260" width="2.53515625" style="68" customWidth="1"/>
    <col min="11261" max="11261" width="22.53515625" style="68" customWidth="1"/>
    <col min="11262" max="11262" width="7.84375" style="68" customWidth="1"/>
    <col min="11263" max="11263" width="26.84375" style="68" customWidth="1"/>
    <col min="11264" max="11264" width="18.53515625" style="68" customWidth="1"/>
    <col min="11265" max="11265" width="17.84375" style="68" customWidth="1"/>
    <col min="11266" max="11266" width="2.4609375" style="68" customWidth="1"/>
    <col min="11267" max="11267" width="7.53515625" style="68" customWidth="1"/>
    <col min="11268" max="11268" width="13.15234375" style="68" customWidth="1"/>
    <col min="11269" max="11269" width="2.15234375" style="68" customWidth="1"/>
    <col min="11270" max="11271" width="8.84375" style="68"/>
    <col min="11272" max="11272" width="8.15234375" style="68" bestFit="1" customWidth="1"/>
    <col min="11273" max="11515" width="8.84375" style="68"/>
    <col min="11516" max="11516" width="2.53515625" style="68" customWidth="1"/>
    <col min="11517" max="11517" width="22.53515625" style="68" customWidth="1"/>
    <col min="11518" max="11518" width="7.84375" style="68" customWidth="1"/>
    <col min="11519" max="11519" width="26.84375" style="68" customWidth="1"/>
    <col min="11520" max="11520" width="18.53515625" style="68" customWidth="1"/>
    <col min="11521" max="11521" width="17.84375" style="68" customWidth="1"/>
    <col min="11522" max="11522" width="2.4609375" style="68" customWidth="1"/>
    <col min="11523" max="11523" width="7.53515625" style="68" customWidth="1"/>
    <col min="11524" max="11524" width="13.15234375" style="68" customWidth="1"/>
    <col min="11525" max="11525" width="2.15234375" style="68" customWidth="1"/>
    <col min="11526" max="11527" width="8.84375" style="68"/>
    <col min="11528" max="11528" width="8.15234375" style="68" bestFit="1" customWidth="1"/>
    <col min="11529" max="11771" width="8.84375" style="68"/>
    <col min="11772" max="11772" width="2.53515625" style="68" customWidth="1"/>
    <col min="11773" max="11773" width="22.53515625" style="68" customWidth="1"/>
    <col min="11774" max="11774" width="7.84375" style="68" customWidth="1"/>
    <col min="11775" max="11775" width="26.84375" style="68" customWidth="1"/>
    <col min="11776" max="11776" width="18.53515625" style="68" customWidth="1"/>
    <col min="11777" max="11777" width="17.84375" style="68" customWidth="1"/>
    <col min="11778" max="11778" width="2.4609375" style="68" customWidth="1"/>
    <col min="11779" max="11779" width="7.53515625" style="68" customWidth="1"/>
    <col min="11780" max="11780" width="13.15234375" style="68" customWidth="1"/>
    <col min="11781" max="11781" width="2.15234375" style="68" customWidth="1"/>
    <col min="11782" max="11783" width="8.84375" style="68"/>
    <col min="11784" max="11784" width="8.15234375" style="68" bestFit="1" customWidth="1"/>
    <col min="11785" max="12027" width="8.84375" style="68"/>
    <col min="12028" max="12028" width="2.53515625" style="68" customWidth="1"/>
    <col min="12029" max="12029" width="22.53515625" style="68" customWidth="1"/>
    <col min="12030" max="12030" width="7.84375" style="68" customWidth="1"/>
    <col min="12031" max="12031" width="26.84375" style="68" customWidth="1"/>
    <col min="12032" max="12032" width="18.53515625" style="68" customWidth="1"/>
    <col min="12033" max="12033" width="17.84375" style="68" customWidth="1"/>
    <col min="12034" max="12034" width="2.4609375" style="68" customWidth="1"/>
    <col min="12035" max="12035" width="7.53515625" style="68" customWidth="1"/>
    <col min="12036" max="12036" width="13.15234375" style="68" customWidth="1"/>
    <col min="12037" max="12037" width="2.15234375" style="68" customWidth="1"/>
    <col min="12038" max="12039" width="8.84375" style="68"/>
    <col min="12040" max="12040" width="8.15234375" style="68" bestFit="1" customWidth="1"/>
    <col min="12041" max="12283" width="8.84375" style="68"/>
    <col min="12284" max="12284" width="2.53515625" style="68" customWidth="1"/>
    <col min="12285" max="12285" width="22.53515625" style="68" customWidth="1"/>
    <col min="12286" max="12286" width="7.84375" style="68" customWidth="1"/>
    <col min="12287" max="12287" width="26.84375" style="68" customWidth="1"/>
    <col min="12288" max="12288" width="18.53515625" style="68" customWidth="1"/>
    <col min="12289" max="12289" width="17.84375" style="68" customWidth="1"/>
    <col min="12290" max="12290" width="2.4609375" style="68" customWidth="1"/>
    <col min="12291" max="12291" width="7.53515625" style="68" customWidth="1"/>
    <col min="12292" max="12292" width="13.15234375" style="68" customWidth="1"/>
    <col min="12293" max="12293" width="2.15234375" style="68" customWidth="1"/>
    <col min="12294" max="12295" width="8.84375" style="68"/>
    <col min="12296" max="12296" width="8.15234375" style="68" bestFit="1" customWidth="1"/>
    <col min="12297" max="12539" width="8.84375" style="68"/>
    <col min="12540" max="12540" width="2.53515625" style="68" customWidth="1"/>
    <col min="12541" max="12541" width="22.53515625" style="68" customWidth="1"/>
    <col min="12542" max="12542" width="7.84375" style="68" customWidth="1"/>
    <col min="12543" max="12543" width="26.84375" style="68" customWidth="1"/>
    <col min="12544" max="12544" width="18.53515625" style="68" customWidth="1"/>
    <col min="12545" max="12545" width="17.84375" style="68" customWidth="1"/>
    <col min="12546" max="12546" width="2.4609375" style="68" customWidth="1"/>
    <col min="12547" max="12547" width="7.53515625" style="68" customWidth="1"/>
    <col min="12548" max="12548" width="13.15234375" style="68" customWidth="1"/>
    <col min="12549" max="12549" width="2.15234375" style="68" customWidth="1"/>
    <col min="12550" max="12551" width="8.84375" style="68"/>
    <col min="12552" max="12552" width="8.15234375" style="68" bestFit="1" customWidth="1"/>
    <col min="12553" max="12795" width="8.84375" style="68"/>
    <col min="12796" max="12796" width="2.53515625" style="68" customWidth="1"/>
    <col min="12797" max="12797" width="22.53515625" style="68" customWidth="1"/>
    <col min="12798" max="12798" width="7.84375" style="68" customWidth="1"/>
    <col min="12799" max="12799" width="26.84375" style="68" customWidth="1"/>
    <col min="12800" max="12800" width="18.53515625" style="68" customWidth="1"/>
    <col min="12801" max="12801" width="17.84375" style="68" customWidth="1"/>
    <col min="12802" max="12802" width="2.4609375" style="68" customWidth="1"/>
    <col min="12803" max="12803" width="7.53515625" style="68" customWidth="1"/>
    <col min="12804" max="12804" width="13.15234375" style="68" customWidth="1"/>
    <col min="12805" max="12805" width="2.15234375" style="68" customWidth="1"/>
    <col min="12806" max="12807" width="8.84375" style="68"/>
    <col min="12808" max="12808" width="8.15234375" style="68" bestFit="1" customWidth="1"/>
    <col min="12809" max="13051" width="8.84375" style="68"/>
    <col min="13052" max="13052" width="2.53515625" style="68" customWidth="1"/>
    <col min="13053" max="13053" width="22.53515625" style="68" customWidth="1"/>
    <col min="13054" max="13054" width="7.84375" style="68" customWidth="1"/>
    <col min="13055" max="13055" width="26.84375" style="68" customWidth="1"/>
    <col min="13056" max="13056" width="18.53515625" style="68" customWidth="1"/>
    <col min="13057" max="13057" width="17.84375" style="68" customWidth="1"/>
    <col min="13058" max="13058" width="2.4609375" style="68" customWidth="1"/>
    <col min="13059" max="13059" width="7.53515625" style="68" customWidth="1"/>
    <col min="13060" max="13060" width="13.15234375" style="68" customWidth="1"/>
    <col min="13061" max="13061" width="2.15234375" style="68" customWidth="1"/>
    <col min="13062" max="13063" width="8.84375" style="68"/>
    <col min="13064" max="13064" width="8.15234375" style="68" bestFit="1" customWidth="1"/>
    <col min="13065" max="13307" width="8.84375" style="68"/>
    <col min="13308" max="13308" width="2.53515625" style="68" customWidth="1"/>
    <col min="13309" max="13309" width="22.53515625" style="68" customWidth="1"/>
    <col min="13310" max="13310" width="7.84375" style="68" customWidth="1"/>
    <col min="13311" max="13311" width="26.84375" style="68" customWidth="1"/>
    <col min="13312" max="13312" width="18.53515625" style="68" customWidth="1"/>
    <col min="13313" max="13313" width="17.84375" style="68" customWidth="1"/>
    <col min="13314" max="13314" width="2.4609375" style="68" customWidth="1"/>
    <col min="13315" max="13315" width="7.53515625" style="68" customWidth="1"/>
    <col min="13316" max="13316" width="13.15234375" style="68" customWidth="1"/>
    <col min="13317" max="13317" width="2.15234375" style="68" customWidth="1"/>
    <col min="13318" max="13319" width="8.84375" style="68"/>
    <col min="13320" max="13320" width="8.15234375" style="68" bestFit="1" customWidth="1"/>
    <col min="13321" max="13563" width="8.84375" style="68"/>
    <col min="13564" max="13564" width="2.53515625" style="68" customWidth="1"/>
    <col min="13565" max="13565" width="22.53515625" style="68" customWidth="1"/>
    <col min="13566" max="13566" width="7.84375" style="68" customWidth="1"/>
    <col min="13567" max="13567" width="26.84375" style="68" customWidth="1"/>
    <col min="13568" max="13568" width="18.53515625" style="68" customWidth="1"/>
    <col min="13569" max="13569" width="17.84375" style="68" customWidth="1"/>
    <col min="13570" max="13570" width="2.4609375" style="68" customWidth="1"/>
    <col min="13571" max="13571" width="7.53515625" style="68" customWidth="1"/>
    <col min="13572" max="13572" width="13.15234375" style="68" customWidth="1"/>
    <col min="13573" max="13573" width="2.15234375" style="68" customWidth="1"/>
    <col min="13574" max="13575" width="8.84375" style="68"/>
    <col min="13576" max="13576" width="8.15234375" style="68" bestFit="1" customWidth="1"/>
    <col min="13577" max="13819" width="8.84375" style="68"/>
    <col min="13820" max="13820" width="2.53515625" style="68" customWidth="1"/>
    <col min="13821" max="13821" width="22.53515625" style="68" customWidth="1"/>
    <col min="13822" max="13822" width="7.84375" style="68" customWidth="1"/>
    <col min="13823" max="13823" width="26.84375" style="68" customWidth="1"/>
    <col min="13824" max="13824" width="18.53515625" style="68" customWidth="1"/>
    <col min="13825" max="13825" width="17.84375" style="68" customWidth="1"/>
    <col min="13826" max="13826" width="2.4609375" style="68" customWidth="1"/>
    <col min="13827" max="13827" width="7.53515625" style="68" customWidth="1"/>
    <col min="13828" max="13828" width="13.15234375" style="68" customWidth="1"/>
    <col min="13829" max="13829" width="2.15234375" style="68" customWidth="1"/>
    <col min="13830" max="13831" width="8.84375" style="68"/>
    <col min="13832" max="13832" width="8.15234375" style="68" bestFit="1" customWidth="1"/>
    <col min="13833" max="14075" width="8.84375" style="68"/>
    <col min="14076" max="14076" width="2.53515625" style="68" customWidth="1"/>
    <col min="14077" max="14077" width="22.53515625" style="68" customWidth="1"/>
    <col min="14078" max="14078" width="7.84375" style="68" customWidth="1"/>
    <col min="14079" max="14079" width="26.84375" style="68" customWidth="1"/>
    <col min="14080" max="14080" width="18.53515625" style="68" customWidth="1"/>
    <col min="14081" max="14081" width="17.84375" style="68" customWidth="1"/>
    <col min="14082" max="14082" width="2.4609375" style="68" customWidth="1"/>
    <col min="14083" max="14083" width="7.53515625" style="68" customWidth="1"/>
    <col min="14084" max="14084" width="13.15234375" style="68" customWidth="1"/>
    <col min="14085" max="14085" width="2.15234375" style="68" customWidth="1"/>
    <col min="14086" max="14087" width="8.84375" style="68"/>
    <col min="14088" max="14088" width="8.15234375" style="68" bestFit="1" customWidth="1"/>
    <col min="14089" max="14331" width="8.84375" style="68"/>
    <col min="14332" max="14332" width="2.53515625" style="68" customWidth="1"/>
    <col min="14333" max="14333" width="22.53515625" style="68" customWidth="1"/>
    <col min="14334" max="14334" width="7.84375" style="68" customWidth="1"/>
    <col min="14335" max="14335" width="26.84375" style="68" customWidth="1"/>
    <col min="14336" max="14336" width="18.53515625" style="68" customWidth="1"/>
    <col min="14337" max="14337" width="17.84375" style="68" customWidth="1"/>
    <col min="14338" max="14338" width="2.4609375" style="68" customWidth="1"/>
    <col min="14339" max="14339" width="7.53515625" style="68" customWidth="1"/>
    <col min="14340" max="14340" width="13.15234375" style="68" customWidth="1"/>
    <col min="14341" max="14341" width="2.15234375" style="68" customWidth="1"/>
    <col min="14342" max="14343" width="8.84375" style="68"/>
    <col min="14344" max="14344" width="8.15234375" style="68" bestFit="1" customWidth="1"/>
    <col min="14345" max="14587" width="8.84375" style="68"/>
    <col min="14588" max="14588" width="2.53515625" style="68" customWidth="1"/>
    <col min="14589" max="14589" width="22.53515625" style="68" customWidth="1"/>
    <col min="14590" max="14590" width="7.84375" style="68" customWidth="1"/>
    <col min="14591" max="14591" width="26.84375" style="68" customWidth="1"/>
    <col min="14592" max="14592" width="18.53515625" style="68" customWidth="1"/>
    <col min="14593" max="14593" width="17.84375" style="68" customWidth="1"/>
    <col min="14594" max="14594" width="2.4609375" style="68" customWidth="1"/>
    <col min="14595" max="14595" width="7.53515625" style="68" customWidth="1"/>
    <col min="14596" max="14596" width="13.15234375" style="68" customWidth="1"/>
    <col min="14597" max="14597" width="2.15234375" style="68" customWidth="1"/>
    <col min="14598" max="14599" width="8.84375" style="68"/>
    <col min="14600" max="14600" width="8.15234375" style="68" bestFit="1" customWidth="1"/>
    <col min="14601" max="14843" width="8.84375" style="68"/>
    <col min="14844" max="14844" width="2.53515625" style="68" customWidth="1"/>
    <col min="14845" max="14845" width="22.53515625" style="68" customWidth="1"/>
    <col min="14846" max="14846" width="7.84375" style="68" customWidth="1"/>
    <col min="14847" max="14847" width="26.84375" style="68" customWidth="1"/>
    <col min="14848" max="14848" width="18.53515625" style="68" customWidth="1"/>
    <col min="14849" max="14849" width="17.84375" style="68" customWidth="1"/>
    <col min="14850" max="14850" width="2.4609375" style="68" customWidth="1"/>
    <col min="14851" max="14851" width="7.53515625" style="68" customWidth="1"/>
    <col min="14852" max="14852" width="13.15234375" style="68" customWidth="1"/>
    <col min="14853" max="14853" width="2.15234375" style="68" customWidth="1"/>
    <col min="14854" max="14855" width="8.84375" style="68"/>
    <col min="14856" max="14856" width="8.15234375" style="68" bestFit="1" customWidth="1"/>
    <col min="14857" max="15099" width="8.84375" style="68"/>
    <col min="15100" max="15100" width="2.53515625" style="68" customWidth="1"/>
    <col min="15101" max="15101" width="22.53515625" style="68" customWidth="1"/>
    <col min="15102" max="15102" width="7.84375" style="68" customWidth="1"/>
    <col min="15103" max="15103" width="26.84375" style="68" customWidth="1"/>
    <col min="15104" max="15104" width="18.53515625" style="68" customWidth="1"/>
    <col min="15105" max="15105" width="17.84375" style="68" customWidth="1"/>
    <col min="15106" max="15106" width="2.4609375" style="68" customWidth="1"/>
    <col min="15107" max="15107" width="7.53515625" style="68" customWidth="1"/>
    <col min="15108" max="15108" width="13.15234375" style="68" customWidth="1"/>
    <col min="15109" max="15109" width="2.15234375" style="68" customWidth="1"/>
    <col min="15110" max="15111" width="8.84375" style="68"/>
    <col min="15112" max="15112" width="8.15234375" style="68" bestFit="1" customWidth="1"/>
    <col min="15113" max="15355" width="8.84375" style="68"/>
    <col min="15356" max="15356" width="2.53515625" style="68" customWidth="1"/>
    <col min="15357" max="15357" width="22.53515625" style="68" customWidth="1"/>
    <col min="15358" max="15358" width="7.84375" style="68" customWidth="1"/>
    <col min="15359" max="15359" width="26.84375" style="68" customWidth="1"/>
    <col min="15360" max="15360" width="18.53515625" style="68" customWidth="1"/>
    <col min="15361" max="15361" width="17.84375" style="68" customWidth="1"/>
    <col min="15362" max="15362" width="2.4609375" style="68" customWidth="1"/>
    <col min="15363" max="15363" width="7.53515625" style="68" customWidth="1"/>
    <col min="15364" max="15364" width="13.15234375" style="68" customWidth="1"/>
    <col min="15365" max="15365" width="2.15234375" style="68" customWidth="1"/>
    <col min="15366" max="15367" width="8.84375" style="68"/>
    <col min="15368" max="15368" width="8.15234375" style="68" bestFit="1" customWidth="1"/>
    <col min="15369" max="15611" width="8.84375" style="68"/>
    <col min="15612" max="15612" width="2.53515625" style="68" customWidth="1"/>
    <col min="15613" max="15613" width="22.53515625" style="68" customWidth="1"/>
    <col min="15614" max="15614" width="7.84375" style="68" customWidth="1"/>
    <col min="15615" max="15615" width="26.84375" style="68" customWidth="1"/>
    <col min="15616" max="15616" width="18.53515625" style="68" customWidth="1"/>
    <col min="15617" max="15617" width="17.84375" style="68" customWidth="1"/>
    <col min="15618" max="15618" width="2.4609375" style="68" customWidth="1"/>
    <col min="15619" max="15619" width="7.53515625" style="68" customWidth="1"/>
    <col min="15620" max="15620" width="13.15234375" style="68" customWidth="1"/>
    <col min="15621" max="15621" width="2.15234375" style="68" customWidth="1"/>
    <col min="15622" max="15623" width="8.84375" style="68"/>
    <col min="15624" max="15624" width="8.15234375" style="68" bestFit="1" customWidth="1"/>
    <col min="15625" max="15867" width="8.84375" style="68"/>
    <col min="15868" max="15868" width="2.53515625" style="68" customWidth="1"/>
    <col min="15869" max="15869" width="22.53515625" style="68" customWidth="1"/>
    <col min="15870" max="15870" width="7.84375" style="68" customWidth="1"/>
    <col min="15871" max="15871" width="26.84375" style="68" customWidth="1"/>
    <col min="15872" max="15872" width="18.53515625" style="68" customWidth="1"/>
    <col min="15873" max="15873" width="17.84375" style="68" customWidth="1"/>
    <col min="15874" max="15874" width="2.4609375" style="68" customWidth="1"/>
    <col min="15875" max="15875" width="7.53515625" style="68" customWidth="1"/>
    <col min="15876" max="15876" width="13.15234375" style="68" customWidth="1"/>
    <col min="15877" max="15877" width="2.15234375" style="68" customWidth="1"/>
    <col min="15878" max="15879" width="8.84375" style="68"/>
    <col min="15880" max="15880" width="8.15234375" style="68" bestFit="1" customWidth="1"/>
    <col min="15881" max="16123" width="8.84375" style="68"/>
    <col min="16124" max="16124" width="2.53515625" style="68" customWidth="1"/>
    <col min="16125" max="16125" width="22.53515625" style="68" customWidth="1"/>
    <col min="16126" max="16126" width="7.84375" style="68" customWidth="1"/>
    <col min="16127" max="16127" width="26.84375" style="68" customWidth="1"/>
    <col min="16128" max="16128" width="18.53515625" style="68" customWidth="1"/>
    <col min="16129" max="16129" width="17.84375" style="68" customWidth="1"/>
    <col min="16130" max="16130" width="2.4609375" style="68" customWidth="1"/>
    <col min="16131" max="16131" width="7.53515625" style="68" customWidth="1"/>
    <col min="16132" max="16132" width="13.15234375" style="68" customWidth="1"/>
    <col min="16133" max="16133" width="2.15234375" style="68" customWidth="1"/>
    <col min="16134" max="16135" width="8.84375" style="68"/>
    <col min="16136" max="16136" width="8.15234375" style="68" bestFit="1" customWidth="1"/>
    <col min="16137" max="16384" width="8.84375" style="68"/>
  </cols>
  <sheetData>
    <row r="1" spans="2:21" ht="15.65" customHeight="1" thickBot="1" x14ac:dyDescent="0.4">
      <c r="B1" s="137"/>
      <c r="C1" s="137"/>
      <c r="D1" s="137"/>
      <c r="E1" s="137"/>
      <c r="F1" s="137"/>
      <c r="G1" s="137"/>
      <c r="H1" s="137"/>
      <c r="I1" s="137"/>
      <c r="J1" s="137"/>
      <c r="K1" s="137"/>
      <c r="L1" s="137"/>
      <c r="M1" s="137"/>
      <c r="N1" s="137"/>
      <c r="O1" s="137"/>
      <c r="P1" s="137"/>
      <c r="Q1" s="137"/>
      <c r="R1" s="137"/>
    </row>
    <row r="2" spans="2:21" ht="15.65" customHeight="1" x14ac:dyDescent="0.35">
      <c r="B2" s="151"/>
      <c r="C2" s="152"/>
      <c r="D2" s="152"/>
      <c r="E2" s="152"/>
      <c r="F2" s="152"/>
      <c r="G2" s="152"/>
      <c r="H2" s="152"/>
      <c r="I2" s="152"/>
      <c r="J2" s="152"/>
      <c r="K2" s="152"/>
      <c r="L2" s="152"/>
      <c r="M2" s="152"/>
      <c r="N2" s="152"/>
      <c r="O2" s="153"/>
      <c r="P2" s="145"/>
      <c r="Q2" s="182"/>
      <c r="R2" s="198"/>
      <c r="S2" s="198"/>
      <c r="T2" s="198"/>
      <c r="U2" s="199"/>
    </row>
    <row r="3" spans="2:21" s="140" customFormat="1" ht="15.65" customHeight="1" x14ac:dyDescent="0.35">
      <c r="B3" s="154"/>
      <c r="C3" s="1720" t="s">
        <v>0</v>
      </c>
      <c r="D3" s="1720"/>
      <c r="E3" s="1720"/>
      <c r="F3" s="1720"/>
      <c r="G3" s="1720"/>
      <c r="H3" s="1720"/>
      <c r="I3" s="1720"/>
      <c r="J3" s="1720"/>
      <c r="K3" s="1720"/>
      <c r="L3" s="1720"/>
      <c r="M3" s="1720"/>
      <c r="N3" s="1720"/>
      <c r="O3" s="155"/>
      <c r="P3" s="146"/>
      <c r="Q3" s="186"/>
      <c r="R3" s="1239" t="s">
        <v>1</v>
      </c>
      <c r="S3" s="1239"/>
      <c r="T3" s="1239"/>
      <c r="U3" s="177"/>
    </row>
    <row r="4" spans="2:21" s="140" customFormat="1" ht="15.65" customHeight="1" thickBot="1" x14ac:dyDescent="0.4">
      <c r="B4" s="156"/>
      <c r="C4" s="1720"/>
      <c r="D4" s="1720"/>
      <c r="E4" s="1720"/>
      <c r="F4" s="1720"/>
      <c r="G4" s="1720"/>
      <c r="H4" s="1720"/>
      <c r="I4" s="1720"/>
      <c r="J4" s="1720"/>
      <c r="K4" s="1720"/>
      <c r="L4" s="1720"/>
      <c r="M4" s="1720"/>
      <c r="N4" s="1720"/>
      <c r="O4" s="155"/>
      <c r="P4" s="146"/>
      <c r="Q4" s="186"/>
      <c r="R4" s="200"/>
      <c r="S4" s="200"/>
      <c r="T4" s="200"/>
      <c r="U4" s="177"/>
    </row>
    <row r="5" spans="2:21" ht="15.65" customHeight="1" thickBot="1" x14ac:dyDescent="0.4">
      <c r="B5" s="157"/>
      <c r="C5" s="1720"/>
      <c r="D5" s="1720"/>
      <c r="E5" s="1720"/>
      <c r="F5" s="1720"/>
      <c r="G5" s="1720"/>
      <c r="H5" s="1720"/>
      <c r="I5" s="1720"/>
      <c r="J5" s="1720"/>
      <c r="K5" s="1720"/>
      <c r="L5" s="1720"/>
      <c r="M5" s="1720"/>
      <c r="N5" s="1720"/>
      <c r="O5" s="155"/>
      <c r="P5" s="146"/>
      <c r="Q5" s="186"/>
      <c r="R5" s="201" t="s">
        <v>2</v>
      </c>
      <c r="S5" s="202" t="s">
        <v>3</v>
      </c>
      <c r="T5" s="201" t="s">
        <v>4</v>
      </c>
      <c r="U5" s="177"/>
    </row>
    <row r="6" spans="2:21" ht="15.65" customHeight="1" thickBot="1" x14ac:dyDescent="0.4">
      <c r="B6" s="158"/>
      <c r="C6" s="159"/>
      <c r="D6" s="160"/>
      <c r="E6" s="160"/>
      <c r="F6" s="161"/>
      <c r="G6" s="161"/>
      <c r="H6" s="161"/>
      <c r="I6" s="162"/>
      <c r="J6" s="162"/>
      <c r="K6" s="162"/>
      <c r="L6" s="162"/>
      <c r="M6" s="163"/>
      <c r="N6" s="163"/>
      <c r="O6" s="164"/>
      <c r="P6" s="145"/>
      <c r="Q6" s="186"/>
      <c r="R6" s="195" t="s">
        <v>5</v>
      </c>
      <c r="S6" s="1350" t="s">
        <v>6</v>
      </c>
      <c r="T6" s="1351">
        <v>44747</v>
      </c>
      <c r="U6" s="177"/>
    </row>
    <row r="7" spans="2:21" ht="15.65" customHeight="1" thickBot="1" x14ac:dyDescent="0.4">
      <c r="B7" s="137"/>
      <c r="C7" s="141"/>
      <c r="D7" s="142"/>
      <c r="E7" s="142"/>
      <c r="F7" s="138"/>
      <c r="G7" s="138"/>
      <c r="H7" s="138"/>
      <c r="I7" s="139"/>
      <c r="J7" s="139"/>
      <c r="K7" s="139"/>
      <c r="L7" s="139"/>
      <c r="M7" s="137"/>
      <c r="N7" s="137"/>
      <c r="O7" s="137"/>
      <c r="P7" s="137"/>
      <c r="Q7" s="186"/>
      <c r="R7" s="196"/>
      <c r="S7" s="197"/>
      <c r="T7" s="196"/>
      <c r="U7" s="177"/>
    </row>
    <row r="8" spans="2:21" ht="15.65" customHeight="1" x14ac:dyDescent="0.35">
      <c r="B8" s="182"/>
      <c r="C8" s="165"/>
      <c r="D8" s="166"/>
      <c r="E8" s="166"/>
      <c r="F8" s="167"/>
      <c r="G8" s="167"/>
      <c r="H8" s="167"/>
      <c r="I8" s="168"/>
      <c r="J8" s="168"/>
      <c r="K8" s="168"/>
      <c r="L8" s="168"/>
      <c r="M8" s="169"/>
      <c r="N8" s="169"/>
      <c r="O8" s="170"/>
      <c r="P8" s="137"/>
      <c r="Q8" s="186"/>
      <c r="R8" s="196"/>
      <c r="S8" s="197"/>
      <c r="T8" s="196"/>
      <c r="U8" s="177"/>
    </row>
    <row r="9" spans="2:21" ht="15.65" customHeight="1" x14ac:dyDescent="0.35">
      <c r="B9" s="186"/>
      <c r="C9" s="171"/>
      <c r="D9" s="172"/>
      <c r="E9" s="172"/>
      <c r="F9" s="173"/>
      <c r="G9" s="173"/>
      <c r="H9" s="1695" t="s">
        <v>7</v>
      </c>
      <c r="I9" s="1695"/>
      <c r="J9" s="174"/>
      <c r="K9" s="174"/>
      <c r="L9" s="174"/>
      <c r="M9" s="175"/>
      <c r="N9" s="175"/>
      <c r="O9" s="176"/>
      <c r="P9" s="137"/>
      <c r="Q9" s="186"/>
      <c r="R9" s="196"/>
      <c r="S9" s="197"/>
      <c r="T9" s="196"/>
      <c r="U9" s="177"/>
    </row>
    <row r="10" spans="2:21" ht="15.65" customHeight="1" thickBot="1" x14ac:dyDescent="0.4">
      <c r="B10" s="186"/>
      <c r="C10" s="171"/>
      <c r="D10" s="172"/>
      <c r="E10" s="172"/>
      <c r="F10" s="173"/>
      <c r="G10" s="173"/>
      <c r="H10" s="173"/>
      <c r="I10" s="174"/>
      <c r="J10" s="174"/>
      <c r="K10" s="174"/>
      <c r="L10" s="174"/>
      <c r="M10" s="175"/>
      <c r="N10" s="175"/>
      <c r="O10" s="176"/>
      <c r="P10" s="137"/>
      <c r="Q10" s="186"/>
      <c r="R10" s="196"/>
      <c r="S10" s="197"/>
      <c r="T10" s="196"/>
      <c r="U10" s="177"/>
    </row>
    <row r="11" spans="2:21" ht="15.65" customHeight="1" thickBot="1" x14ac:dyDescent="0.4">
      <c r="B11" s="186"/>
      <c r="C11" s="177"/>
      <c r="D11" s="1721" t="s">
        <v>8</v>
      </c>
      <c r="E11" s="1722"/>
      <c r="F11" s="1722"/>
      <c r="G11" s="1722"/>
      <c r="H11" s="178" t="s">
        <v>5</v>
      </c>
      <c r="I11" s="1717" t="s">
        <v>9</v>
      </c>
      <c r="J11" s="1717"/>
      <c r="K11" s="1717"/>
      <c r="L11" s="1717"/>
      <c r="M11" s="1717"/>
      <c r="N11" s="175"/>
      <c r="O11" s="176"/>
      <c r="P11" s="137"/>
      <c r="Q11" s="186"/>
      <c r="R11" s="196"/>
      <c r="S11" s="197"/>
      <c r="T11" s="196"/>
      <c r="U11" s="177"/>
    </row>
    <row r="12" spans="2:21" ht="15.65" customHeight="1" thickBot="1" x14ac:dyDescent="0.4">
      <c r="B12" s="186"/>
      <c r="C12" s="177"/>
      <c r="D12" s="1721" t="s">
        <v>10</v>
      </c>
      <c r="E12" s="1722"/>
      <c r="F12" s="1722"/>
      <c r="G12" s="1722"/>
      <c r="H12" s="179">
        <v>44747</v>
      </c>
      <c r="I12" s="1718" t="s">
        <v>11</v>
      </c>
      <c r="J12" s="1719"/>
      <c r="K12" s="1719"/>
      <c r="L12" s="1719"/>
      <c r="M12" s="1719"/>
      <c r="N12" s="175"/>
      <c r="O12" s="176"/>
      <c r="P12" s="137"/>
      <c r="Q12" s="205"/>
      <c r="R12" s="196"/>
      <c r="S12" s="197"/>
      <c r="T12" s="196"/>
      <c r="U12" s="177"/>
    </row>
    <row r="13" spans="2:21" ht="15.65" customHeight="1" thickBot="1" x14ac:dyDescent="0.4">
      <c r="B13" s="158"/>
      <c r="C13" s="162"/>
      <c r="D13" s="162"/>
      <c r="E13" s="180"/>
      <c r="F13" s="181"/>
      <c r="G13" s="161"/>
      <c r="H13" s="161"/>
      <c r="I13" s="1723" t="s">
        <v>12</v>
      </c>
      <c r="J13" s="1723"/>
      <c r="K13" s="1723"/>
      <c r="L13" s="1723"/>
      <c r="M13" s="1723"/>
      <c r="N13" s="163"/>
      <c r="O13" s="164"/>
      <c r="P13" s="137"/>
      <c r="Q13" s="1240"/>
      <c r="R13" s="196"/>
      <c r="S13" s="197"/>
      <c r="T13" s="196"/>
      <c r="U13" s="177"/>
    </row>
    <row r="14" spans="2:21" ht="15.65" customHeight="1" thickBot="1" x14ac:dyDescent="0.4">
      <c r="B14" s="137"/>
      <c r="C14" s="134"/>
      <c r="D14" s="134"/>
      <c r="E14" s="134"/>
      <c r="F14" s="134"/>
      <c r="G14" s="134"/>
      <c r="H14" s="133"/>
      <c r="I14" s="134"/>
      <c r="J14" s="134"/>
      <c r="K14" s="134"/>
      <c r="L14" s="134"/>
      <c r="M14" s="134"/>
      <c r="N14" s="134"/>
      <c r="O14" s="134"/>
      <c r="P14" s="137"/>
      <c r="Q14" s="1240"/>
      <c r="R14" s="196"/>
      <c r="S14" s="197"/>
      <c r="T14" s="196"/>
      <c r="U14" s="177"/>
    </row>
    <row r="15" spans="2:21" ht="15.65" customHeight="1" x14ac:dyDescent="0.35">
      <c r="B15" s="182"/>
      <c r="C15" s="165"/>
      <c r="D15" s="169"/>
      <c r="E15" s="169"/>
      <c r="F15" s="169"/>
      <c r="G15" s="169"/>
      <c r="H15" s="169"/>
      <c r="I15" s="169"/>
      <c r="J15" s="169"/>
      <c r="K15" s="169"/>
      <c r="L15" s="169"/>
      <c r="M15" s="169"/>
      <c r="N15" s="169"/>
      <c r="O15" s="170"/>
      <c r="P15" s="137"/>
      <c r="Q15" s="1240"/>
      <c r="R15" s="196"/>
      <c r="S15" s="197"/>
      <c r="T15" s="196"/>
      <c r="U15" s="177"/>
    </row>
    <row r="16" spans="2:21" ht="15.65" customHeight="1" x14ac:dyDescent="0.35">
      <c r="B16" s="183"/>
      <c r="C16" s="184"/>
      <c r="D16" s="184"/>
      <c r="E16" s="184"/>
      <c r="F16" s="184"/>
      <c r="G16" s="184"/>
      <c r="H16" s="1695" t="s">
        <v>13</v>
      </c>
      <c r="I16" s="1695"/>
      <c r="J16" s="184"/>
      <c r="K16" s="184"/>
      <c r="L16" s="184"/>
      <c r="M16" s="184"/>
      <c r="N16" s="184"/>
      <c r="O16" s="185"/>
      <c r="P16" s="137"/>
      <c r="Q16" s="157"/>
      <c r="R16" s="196"/>
      <c r="S16" s="197"/>
      <c r="T16" s="196"/>
      <c r="U16" s="177"/>
    </row>
    <row r="17" spans="2:21" ht="15.65" customHeight="1" thickBot="1" x14ac:dyDescent="0.4">
      <c r="B17" s="186"/>
      <c r="C17" s="171"/>
      <c r="D17" s="175"/>
      <c r="E17" s="175"/>
      <c r="F17" s="175"/>
      <c r="G17" s="175"/>
      <c r="H17" s="175"/>
      <c r="I17" s="175"/>
      <c r="J17" s="175"/>
      <c r="K17" s="175"/>
      <c r="L17" s="175"/>
      <c r="M17" s="175"/>
      <c r="N17" s="175"/>
      <c r="O17" s="176"/>
      <c r="P17" s="137"/>
      <c r="Q17" s="1241"/>
      <c r="R17" s="196"/>
      <c r="S17" s="197"/>
      <c r="T17" s="196"/>
      <c r="U17" s="177"/>
    </row>
    <row r="18" spans="2:21" ht="15.65" customHeight="1" thickBot="1" x14ac:dyDescent="0.4">
      <c r="B18" s="187"/>
      <c r="C18" s="188" t="s">
        <v>14</v>
      </c>
      <c r="D18" s="1707" t="s">
        <v>15</v>
      </c>
      <c r="E18" s="1707"/>
      <c r="F18" s="1707"/>
      <c r="G18" s="1708"/>
      <c r="H18" s="189"/>
      <c r="I18" s="175"/>
      <c r="J18" s="175"/>
      <c r="K18" s="175"/>
      <c r="L18" s="175"/>
      <c r="M18" s="175"/>
      <c r="N18" s="175"/>
      <c r="O18" s="176"/>
      <c r="P18" s="143"/>
      <c r="Q18" s="1241"/>
      <c r="R18" s="196"/>
      <c r="S18" s="197"/>
      <c r="T18" s="196"/>
      <c r="U18" s="177"/>
    </row>
    <row r="19" spans="2:21" ht="15.65" customHeight="1" thickBot="1" x14ac:dyDescent="0.4">
      <c r="B19" s="187"/>
      <c r="C19" s="188" t="s">
        <v>16</v>
      </c>
      <c r="D19" s="1709" t="s">
        <v>17</v>
      </c>
      <c r="E19" s="1710"/>
      <c r="F19" s="1710"/>
      <c r="G19" s="1711"/>
      <c r="H19" s="1715" t="s">
        <v>18</v>
      </c>
      <c r="I19" s="1712" t="s">
        <v>19</v>
      </c>
      <c r="J19" s="1712"/>
      <c r="K19" s="1712"/>
      <c r="L19" s="1712"/>
      <c r="M19" s="1716" t="s">
        <v>20</v>
      </c>
      <c r="N19" s="1713">
        <v>45198</v>
      </c>
      <c r="O19" s="176"/>
      <c r="Q19" s="1241"/>
      <c r="R19" s="196"/>
      <c r="S19" s="197"/>
      <c r="T19" s="196"/>
      <c r="U19" s="177"/>
    </row>
    <row r="20" spans="2:21" ht="15.65" customHeight="1" thickBot="1" x14ac:dyDescent="0.4">
      <c r="B20" s="187"/>
      <c r="C20" s="188" t="s">
        <v>21</v>
      </c>
      <c r="D20" s="1707" t="s">
        <v>22</v>
      </c>
      <c r="E20" s="1707"/>
      <c r="F20" s="1707"/>
      <c r="G20" s="1708"/>
      <c r="H20" s="1715"/>
      <c r="I20" s="1712"/>
      <c r="J20" s="1712"/>
      <c r="K20" s="1712"/>
      <c r="L20" s="1712"/>
      <c r="M20" s="1716"/>
      <c r="N20" s="1714"/>
      <c r="O20" s="176"/>
      <c r="Q20" s="186"/>
      <c r="R20" s="196"/>
      <c r="S20" s="197"/>
      <c r="T20" s="196"/>
      <c r="U20" s="177"/>
    </row>
    <row r="21" spans="2:21" ht="15.65" customHeight="1" thickBot="1" x14ac:dyDescent="0.4">
      <c r="B21" s="186"/>
      <c r="C21" s="188" t="s">
        <v>23</v>
      </c>
      <c r="D21" s="1707">
        <v>2.5</v>
      </c>
      <c r="E21" s="1707"/>
      <c r="F21" s="1707"/>
      <c r="G21" s="1708"/>
      <c r="H21" s="1213"/>
      <c r="I21" s="175" t="s">
        <v>24</v>
      </c>
      <c r="J21" s="1213"/>
      <c r="K21" s="1213"/>
      <c r="L21" s="1213"/>
      <c r="M21" s="1213"/>
      <c r="N21" s="175"/>
      <c r="O21" s="176"/>
      <c r="Q21" s="186"/>
      <c r="R21" s="196"/>
      <c r="S21" s="197"/>
      <c r="T21" s="196"/>
      <c r="U21" s="177"/>
    </row>
    <row r="22" spans="2:21" ht="15.65" customHeight="1" x14ac:dyDescent="0.35">
      <c r="B22" s="186"/>
      <c r="C22" s="171"/>
      <c r="D22" s="1347"/>
      <c r="E22" s="1347"/>
      <c r="F22" s="1347"/>
      <c r="G22" s="1347"/>
      <c r="H22" s="171"/>
      <c r="I22" s="1213"/>
      <c r="J22" s="1213"/>
      <c r="K22" s="1213"/>
      <c r="L22" s="1213"/>
      <c r="M22" s="171"/>
      <c r="N22" s="171"/>
      <c r="O22" s="176"/>
      <c r="P22" s="144"/>
      <c r="Q22" s="186"/>
      <c r="R22" s="196"/>
      <c r="S22" s="197"/>
      <c r="T22" s="196"/>
      <c r="U22" s="177"/>
    </row>
    <row r="23" spans="2:21" ht="15.65" customHeight="1" thickBot="1" x14ac:dyDescent="0.4">
      <c r="B23" s="158"/>
      <c r="C23" s="163"/>
      <c r="D23" s="190"/>
      <c r="E23" s="190"/>
      <c r="F23" s="190"/>
      <c r="G23" s="190"/>
      <c r="H23" s="163"/>
      <c r="I23" s="190"/>
      <c r="J23" s="190"/>
      <c r="K23" s="190"/>
      <c r="L23" s="190"/>
      <c r="M23" s="163"/>
      <c r="N23" s="163"/>
      <c r="O23" s="164"/>
      <c r="P23" s="144"/>
      <c r="Q23" s="186"/>
      <c r="R23" s="196"/>
      <c r="S23" s="197"/>
      <c r="T23" s="196"/>
      <c r="U23" s="177"/>
    </row>
    <row r="24" spans="2:21" ht="15.65" customHeight="1" thickBot="1" x14ac:dyDescent="0.4">
      <c r="B24" s="137"/>
      <c r="C24" s="137"/>
      <c r="H24" s="137"/>
      <c r="M24" s="137"/>
      <c r="N24" s="137"/>
      <c r="O24" s="137"/>
      <c r="P24" s="144"/>
      <c r="Q24" s="186"/>
      <c r="R24" s="196"/>
      <c r="S24" s="197"/>
      <c r="T24" s="196"/>
      <c r="U24" s="177"/>
    </row>
    <row r="25" spans="2:21" ht="15.65" customHeight="1" x14ac:dyDescent="0.35">
      <c r="B25" s="192"/>
      <c r="C25" s="165"/>
      <c r="D25" s="169"/>
      <c r="E25" s="170"/>
      <c r="F25" s="135"/>
      <c r="G25" s="182"/>
      <c r="H25" s="169"/>
      <c r="I25" s="169"/>
      <c r="J25" s="169"/>
      <c r="K25" s="169"/>
      <c r="L25" s="169"/>
      <c r="M25" s="169"/>
      <c r="N25" s="169"/>
      <c r="O25" s="170"/>
      <c r="P25" s="144"/>
      <c r="Q25" s="186"/>
      <c r="R25" s="196"/>
      <c r="S25" s="197"/>
      <c r="T25" s="196"/>
      <c r="U25" s="177"/>
    </row>
    <row r="26" spans="2:21" ht="15.65" customHeight="1" x14ac:dyDescent="0.35">
      <c r="B26" s="183"/>
      <c r="C26" s="1695" t="s">
        <v>25</v>
      </c>
      <c r="D26" s="1695"/>
      <c r="E26" s="185"/>
      <c r="F26" s="136"/>
      <c r="G26" s="183"/>
      <c r="H26" s="1695" t="s">
        <v>26</v>
      </c>
      <c r="I26" s="1695"/>
      <c r="J26" s="1695"/>
      <c r="K26" s="1695"/>
      <c r="L26" s="1695"/>
      <c r="M26" s="1695"/>
      <c r="N26" s="1695"/>
      <c r="O26" s="185"/>
      <c r="P26" s="137"/>
      <c r="Q26" s="186"/>
      <c r="R26" s="196"/>
      <c r="S26" s="197"/>
      <c r="T26" s="196"/>
      <c r="U26" s="177"/>
    </row>
    <row r="27" spans="2:21" ht="15.65" customHeight="1" x14ac:dyDescent="0.35">
      <c r="B27" s="187"/>
      <c r="C27" s="171"/>
      <c r="D27" s="175"/>
      <c r="E27" s="176"/>
      <c r="F27" s="135"/>
      <c r="G27" s="186"/>
      <c r="H27" s="175"/>
      <c r="I27" s="175"/>
      <c r="J27" s="175"/>
      <c r="K27" s="175"/>
      <c r="L27" s="175"/>
      <c r="M27" s="175"/>
      <c r="N27" s="175"/>
      <c r="O27" s="176"/>
      <c r="P27" s="137"/>
      <c r="Q27" s="186"/>
      <c r="R27" s="196"/>
      <c r="S27" s="197"/>
      <c r="T27" s="196"/>
      <c r="U27" s="177"/>
    </row>
    <row r="28" spans="2:21" ht="15.65" customHeight="1" x14ac:dyDescent="0.35">
      <c r="B28" s="186"/>
      <c r="C28" s="1702" t="s">
        <v>27</v>
      </c>
      <c r="D28" s="1702"/>
      <c r="E28" s="176"/>
      <c r="F28" s="135"/>
      <c r="G28" s="186"/>
      <c r="H28" s="171" t="s">
        <v>28</v>
      </c>
      <c r="I28" s="171" t="s">
        <v>29</v>
      </c>
      <c r="J28" s="171"/>
      <c r="K28" s="171"/>
      <c r="L28" s="171"/>
      <c r="M28" s="175"/>
      <c r="N28" s="175"/>
      <c r="O28" s="176"/>
      <c r="P28" s="137"/>
      <c r="Q28" s="186"/>
      <c r="R28" s="196"/>
      <c r="S28" s="197"/>
      <c r="T28" s="196"/>
      <c r="U28" s="177"/>
    </row>
    <row r="29" spans="2:21" ht="15.65" customHeight="1" x14ac:dyDescent="0.35">
      <c r="B29" s="187"/>
      <c r="C29" s="193"/>
      <c r="D29" s="194"/>
      <c r="E29" s="176"/>
      <c r="F29" s="135"/>
      <c r="G29" s="186"/>
      <c r="H29" s="191" t="s">
        <v>30</v>
      </c>
      <c r="I29" s="175" t="s">
        <v>31</v>
      </c>
      <c r="J29" s="175"/>
      <c r="K29" s="175"/>
      <c r="L29" s="175"/>
      <c r="M29" s="175"/>
      <c r="N29" s="175"/>
      <c r="O29" s="176"/>
      <c r="P29" s="137"/>
      <c r="Q29" s="186"/>
      <c r="R29" s="196"/>
      <c r="S29" s="197"/>
      <c r="T29" s="196"/>
      <c r="U29" s="177"/>
    </row>
    <row r="30" spans="2:21" ht="15.65" customHeight="1" x14ac:dyDescent="0.35">
      <c r="B30" s="186"/>
      <c r="C30" s="1703" t="s">
        <v>32</v>
      </c>
      <c r="D30" s="1703"/>
      <c r="E30" s="176"/>
      <c r="F30" s="135"/>
      <c r="G30" s="186"/>
      <c r="H30" s="191" t="s">
        <v>33</v>
      </c>
      <c r="I30" s="175" t="s">
        <v>34</v>
      </c>
      <c r="J30" s="175"/>
      <c r="K30" s="175"/>
      <c r="L30" s="175"/>
      <c r="M30" s="175"/>
      <c r="N30" s="175"/>
      <c r="O30" s="176"/>
      <c r="P30" s="137"/>
      <c r="Q30" s="186"/>
      <c r="R30" s="196"/>
      <c r="S30" s="197"/>
      <c r="T30" s="196"/>
      <c r="U30" s="177"/>
    </row>
    <row r="31" spans="2:21" ht="15.65" customHeight="1" x14ac:dyDescent="0.35">
      <c r="B31" s="186"/>
      <c r="C31" s="193"/>
      <c r="D31" s="194"/>
      <c r="E31" s="176"/>
      <c r="F31" s="135"/>
      <c r="G31" s="186"/>
      <c r="H31" s="171" t="s">
        <v>35</v>
      </c>
      <c r="I31" s="175" t="s">
        <v>36</v>
      </c>
      <c r="J31" s="175"/>
      <c r="K31" s="175"/>
      <c r="L31" s="175"/>
      <c r="M31" s="175"/>
      <c r="N31" s="175"/>
      <c r="O31" s="176"/>
      <c r="P31" s="137"/>
      <c r="Q31" s="186"/>
      <c r="R31" s="196"/>
      <c r="S31" s="197"/>
      <c r="T31" s="196"/>
      <c r="U31" s="177"/>
    </row>
    <row r="32" spans="2:21" ht="15.65" customHeight="1" x14ac:dyDescent="0.35">
      <c r="B32" s="186"/>
      <c r="C32" s="1704" t="s">
        <v>37</v>
      </c>
      <c r="D32" s="1704"/>
      <c r="E32" s="176"/>
      <c r="F32" s="135"/>
      <c r="G32" s="186"/>
      <c r="H32" s="191" t="s">
        <v>38</v>
      </c>
      <c r="I32" s="175" t="s">
        <v>39</v>
      </c>
      <c r="J32" s="175"/>
      <c r="K32" s="175"/>
      <c r="L32" s="175"/>
      <c r="M32" s="175"/>
      <c r="N32" s="175"/>
      <c r="O32" s="176"/>
      <c r="P32" s="137"/>
      <c r="Q32" s="186"/>
      <c r="R32" s="196"/>
      <c r="S32" s="197"/>
      <c r="T32" s="196"/>
      <c r="U32" s="177"/>
    </row>
    <row r="33" spans="2:21" ht="15.65" customHeight="1" x14ac:dyDescent="0.35">
      <c r="B33" s="186"/>
      <c r="C33" s="193"/>
      <c r="D33" s="194"/>
      <c r="E33" s="176"/>
      <c r="F33" s="135"/>
      <c r="G33" s="186"/>
      <c r="H33" s="191" t="s">
        <v>40</v>
      </c>
      <c r="I33" s="175" t="s">
        <v>41</v>
      </c>
      <c r="J33" s="175"/>
      <c r="K33" s="175"/>
      <c r="L33" s="175"/>
      <c r="M33" s="175"/>
      <c r="N33" s="175"/>
      <c r="O33" s="176"/>
      <c r="P33" s="137"/>
      <c r="Q33" s="186"/>
      <c r="R33" s="196"/>
      <c r="S33" s="197"/>
      <c r="T33" s="196"/>
      <c r="U33" s="177"/>
    </row>
    <row r="34" spans="2:21" ht="15.65" customHeight="1" x14ac:dyDescent="0.35">
      <c r="B34" s="186"/>
      <c r="C34" s="1705" t="s">
        <v>42</v>
      </c>
      <c r="D34" s="1705"/>
      <c r="E34" s="176"/>
      <c r="F34" s="135"/>
      <c r="G34" s="186"/>
      <c r="H34" s="191" t="s">
        <v>43</v>
      </c>
      <c r="I34" s="175" t="s">
        <v>44</v>
      </c>
      <c r="J34" s="175"/>
      <c r="K34" s="175"/>
      <c r="L34" s="175"/>
      <c r="M34" s="175"/>
      <c r="N34" s="175"/>
      <c r="O34" s="176"/>
      <c r="P34" s="137"/>
      <c r="Q34" s="186"/>
      <c r="R34" s="196"/>
      <c r="S34" s="197"/>
      <c r="T34" s="196"/>
      <c r="U34" s="177"/>
    </row>
    <row r="35" spans="2:21" ht="15.65" customHeight="1" x14ac:dyDescent="0.35">
      <c r="B35" s="186"/>
      <c r="C35" s="193"/>
      <c r="D35" s="194"/>
      <c r="E35" s="176"/>
      <c r="F35" s="135"/>
      <c r="G35" s="186"/>
      <c r="H35" s="191" t="s">
        <v>45</v>
      </c>
      <c r="I35" s="175" t="s">
        <v>46</v>
      </c>
      <c r="J35" s="175"/>
      <c r="K35" s="175"/>
      <c r="L35" s="175"/>
      <c r="M35" s="175"/>
      <c r="N35" s="175"/>
      <c r="O35" s="176"/>
      <c r="P35" s="137"/>
      <c r="Q35" s="186"/>
      <c r="R35" s="196"/>
      <c r="S35" s="197"/>
      <c r="T35" s="196"/>
      <c r="U35" s="177"/>
    </row>
    <row r="36" spans="2:21" ht="15.65" customHeight="1" x14ac:dyDescent="0.35">
      <c r="B36" s="186"/>
      <c r="C36" s="1706" t="s">
        <v>47</v>
      </c>
      <c r="D36" s="1706"/>
      <c r="E36" s="176"/>
      <c r="F36" s="135"/>
      <c r="G36" s="186"/>
      <c r="H36" s="191" t="s">
        <v>48</v>
      </c>
      <c r="I36" s="175" t="s">
        <v>49</v>
      </c>
      <c r="J36" s="175"/>
      <c r="K36" s="175"/>
      <c r="L36" s="175"/>
      <c r="M36" s="175"/>
      <c r="N36" s="175"/>
      <c r="O36" s="176"/>
      <c r="P36" s="137"/>
      <c r="Q36" s="186"/>
      <c r="R36" s="196"/>
      <c r="S36" s="197"/>
      <c r="T36" s="196"/>
      <c r="U36" s="177"/>
    </row>
    <row r="37" spans="2:21" ht="15.65" customHeight="1" x14ac:dyDescent="0.35">
      <c r="B37" s="186"/>
      <c r="C37" s="193"/>
      <c r="D37" s="193"/>
      <c r="E37" s="176"/>
      <c r="F37" s="135"/>
      <c r="G37" s="186"/>
      <c r="H37" s="191" t="s">
        <v>50</v>
      </c>
      <c r="I37" s="175" t="s">
        <v>51</v>
      </c>
      <c r="J37" s="175"/>
      <c r="K37" s="175"/>
      <c r="L37" s="175"/>
      <c r="M37" s="175"/>
      <c r="N37" s="175"/>
      <c r="O37" s="176"/>
      <c r="P37" s="137"/>
      <c r="Q37" s="186"/>
      <c r="R37" s="196"/>
      <c r="S37" s="197"/>
      <c r="T37" s="196"/>
      <c r="U37" s="177"/>
    </row>
    <row r="38" spans="2:21" ht="14.5" thickBot="1" x14ac:dyDescent="0.4">
      <c r="B38" s="186"/>
      <c r="C38" s="1700" t="s">
        <v>52</v>
      </c>
      <c r="D38" s="1701"/>
      <c r="E38" s="176"/>
      <c r="F38" s="145"/>
      <c r="G38" s="158"/>
      <c r="H38" s="159"/>
      <c r="I38" s="163"/>
      <c r="J38" s="163"/>
      <c r="K38" s="163"/>
      <c r="L38" s="163"/>
      <c r="M38" s="163"/>
      <c r="N38" s="163"/>
      <c r="O38" s="164"/>
      <c r="P38" s="137"/>
      <c r="Q38" s="186"/>
      <c r="R38" s="196"/>
      <c r="S38" s="197"/>
      <c r="T38" s="196"/>
      <c r="U38" s="177"/>
    </row>
    <row r="39" spans="2:21" ht="15.65" customHeight="1" thickBot="1" x14ac:dyDescent="0.4">
      <c r="B39" s="158"/>
      <c r="C39" s="163"/>
      <c r="D39" s="163"/>
      <c r="E39" s="164"/>
      <c r="F39" s="145"/>
      <c r="G39" s="256"/>
      <c r="H39" s="137"/>
      <c r="I39" s="137"/>
      <c r="J39" s="137"/>
      <c r="K39" s="137"/>
      <c r="L39" s="137"/>
      <c r="M39" s="137"/>
      <c r="N39"/>
      <c r="O39" s="137"/>
      <c r="P39" s="137"/>
      <c r="Q39" s="157"/>
      <c r="R39" s="196"/>
      <c r="S39" s="197"/>
      <c r="T39" s="196"/>
      <c r="U39" s="177"/>
    </row>
    <row r="40" spans="2:21" ht="15.65" customHeight="1" thickBot="1" x14ac:dyDescent="0.4">
      <c r="B40" s="137"/>
      <c r="C40" s="137"/>
      <c r="D40" s="137"/>
      <c r="E40" s="137"/>
      <c r="F40" s="137"/>
      <c r="G40" s="137"/>
      <c r="H40" s="137"/>
      <c r="I40" s="137"/>
      <c r="J40" s="137"/>
      <c r="K40" s="137"/>
      <c r="L40" s="137"/>
      <c r="M40" s="137"/>
      <c r="N40" s="137"/>
      <c r="O40" s="137"/>
      <c r="P40" s="137"/>
      <c r="Q40" s="157"/>
      <c r="R40" s="196"/>
      <c r="S40" s="197"/>
      <c r="T40" s="1242"/>
      <c r="U40" s="177"/>
    </row>
    <row r="41" spans="2:21" ht="15.65" customHeight="1" thickBot="1" x14ac:dyDescent="0.4">
      <c r="B41" s="192"/>
      <c r="C41" s="165"/>
      <c r="D41" s="169"/>
      <c r="E41" s="170"/>
      <c r="F41" s="137"/>
      <c r="G41" s="137"/>
      <c r="H41" s="137"/>
      <c r="I41" s="137"/>
      <c r="J41" s="137"/>
      <c r="K41" s="137"/>
      <c r="L41" s="137"/>
      <c r="M41"/>
      <c r="N41" s="137"/>
      <c r="O41" s="137"/>
      <c r="P41" s="137"/>
      <c r="Q41" s="203"/>
      <c r="R41" s="190"/>
      <c r="S41" s="190"/>
      <c r="T41" s="190"/>
      <c r="U41" s="204"/>
    </row>
    <row r="42" spans="2:21" ht="15.65" customHeight="1" x14ac:dyDescent="0.35">
      <c r="B42" s="183"/>
      <c r="C42" s="1695" t="s">
        <v>53</v>
      </c>
      <c r="D42" s="1695"/>
      <c r="E42" s="185"/>
      <c r="F42" s="137"/>
      <c r="G42" s="137"/>
      <c r="H42" s="137"/>
      <c r="I42" s="137"/>
      <c r="J42" s="137"/>
      <c r="K42" s="137"/>
      <c r="L42" s="137"/>
      <c r="M42" s="137"/>
      <c r="N42" s="137"/>
      <c r="O42" s="137"/>
      <c r="P42" s="137"/>
    </row>
    <row r="43" spans="2:21" ht="15.65" customHeight="1" x14ac:dyDescent="0.35">
      <c r="B43" s="187"/>
      <c r="C43" s="171"/>
      <c r="D43" s="175"/>
      <c r="E43" s="176"/>
      <c r="F43" s="137"/>
      <c r="G43" s="137"/>
      <c r="H43" s="137"/>
      <c r="I43" s="137"/>
      <c r="J43" s="137"/>
      <c r="K43" s="137"/>
      <c r="L43" s="137"/>
      <c r="M43" s="137"/>
      <c r="N43" s="137"/>
      <c r="O43" s="137"/>
      <c r="P43" s="137"/>
    </row>
    <row r="44" spans="2:21" ht="15.65" customHeight="1" x14ac:dyDescent="0.35">
      <c r="B44" s="186"/>
      <c r="C44" s="1696" t="s">
        <v>54</v>
      </c>
      <c r="D44" s="1696"/>
      <c r="E44" s="176"/>
      <c r="F44" s="137"/>
      <c r="G44" s="137"/>
      <c r="H44" s="137"/>
      <c r="I44" s="137"/>
      <c r="J44" s="137"/>
      <c r="K44" s="137"/>
      <c r="L44" s="137"/>
      <c r="M44" s="137"/>
      <c r="N44" s="137"/>
      <c r="O44" s="137"/>
      <c r="P44" s="137"/>
    </row>
    <row r="45" spans="2:21" ht="15.65" customHeight="1" x14ac:dyDescent="0.35">
      <c r="B45" s="187"/>
      <c r="C45" s="193"/>
      <c r="D45" s="194"/>
      <c r="E45" s="176"/>
      <c r="F45" s="137"/>
      <c r="G45" s="137"/>
      <c r="H45" s="137"/>
      <c r="I45" s="137"/>
      <c r="J45" s="137"/>
      <c r="K45" s="137"/>
      <c r="L45" s="137"/>
      <c r="M45" s="137"/>
      <c r="N45" s="137"/>
      <c r="O45" s="137"/>
      <c r="P45" s="137"/>
    </row>
    <row r="46" spans="2:21" ht="15.65" customHeight="1" x14ac:dyDescent="0.35">
      <c r="B46" s="186"/>
      <c r="C46" s="1697" t="s">
        <v>55</v>
      </c>
      <c r="D46" s="1697"/>
      <c r="E46" s="176"/>
      <c r="F46" s="137"/>
      <c r="G46" s="137"/>
      <c r="H46" s="137"/>
      <c r="I46" s="137"/>
      <c r="J46" s="137"/>
      <c r="K46" s="137"/>
      <c r="L46" s="137"/>
      <c r="M46" s="137"/>
      <c r="N46" s="137"/>
      <c r="O46" s="137"/>
      <c r="P46" s="137"/>
    </row>
    <row r="47" spans="2:21" ht="15.65" customHeight="1" x14ac:dyDescent="0.35">
      <c r="B47" s="187"/>
      <c r="C47" s="193"/>
      <c r="D47" s="194"/>
      <c r="E47" s="176"/>
      <c r="F47" s="137"/>
      <c r="P47" s="137"/>
    </row>
    <row r="48" spans="2:21" ht="15.65" customHeight="1" x14ac:dyDescent="0.35">
      <c r="B48" s="186"/>
      <c r="C48" s="1694" t="s">
        <v>56</v>
      </c>
      <c r="D48" s="1694"/>
      <c r="E48" s="176"/>
      <c r="F48" s="137"/>
      <c r="G48" s="137"/>
      <c r="H48" s="137"/>
      <c r="I48" s="137"/>
      <c r="J48" s="137"/>
      <c r="K48" s="137"/>
      <c r="L48" s="137"/>
      <c r="M48" s="137"/>
      <c r="N48" s="137"/>
      <c r="O48" s="137"/>
      <c r="P48" s="137"/>
    </row>
    <row r="49" spans="2:16" ht="15.65" customHeight="1" x14ac:dyDescent="0.35">
      <c r="B49" s="187"/>
      <c r="C49" s="193"/>
      <c r="D49" s="194"/>
      <c r="E49" s="176"/>
      <c r="F49" s="137"/>
      <c r="P49" s="137"/>
    </row>
    <row r="50" spans="2:16" ht="15.65" customHeight="1" x14ac:dyDescent="0.35">
      <c r="B50" s="186"/>
      <c r="C50" s="1699" t="s">
        <v>57</v>
      </c>
      <c r="D50" s="1699"/>
      <c r="E50" s="176"/>
      <c r="F50" s="137"/>
      <c r="G50" s="137"/>
      <c r="H50" s="137"/>
      <c r="I50" s="137"/>
      <c r="J50" s="137"/>
      <c r="K50" s="137"/>
      <c r="L50" s="137"/>
      <c r="M50" s="137"/>
      <c r="N50" s="137"/>
      <c r="O50" s="137"/>
      <c r="P50" s="137"/>
    </row>
    <row r="51" spans="2:16" ht="15.65" customHeight="1" x14ac:dyDescent="0.35">
      <c r="B51" s="186"/>
      <c r="C51" s="193"/>
      <c r="D51" s="194"/>
      <c r="E51" s="176"/>
      <c r="F51" s="137"/>
      <c r="P51" s="137"/>
    </row>
    <row r="52" spans="2:16" ht="15.65" customHeight="1" x14ac:dyDescent="0.35">
      <c r="B52" s="186"/>
      <c r="C52" s="1698" t="s">
        <v>58</v>
      </c>
      <c r="D52" s="1698"/>
      <c r="E52" s="176"/>
    </row>
    <row r="53" spans="2:16" ht="15.65" customHeight="1" thickBot="1" x14ac:dyDescent="0.4">
      <c r="B53" s="158"/>
      <c r="C53" s="163"/>
      <c r="D53" s="163"/>
      <c r="E53" s="164"/>
    </row>
  </sheetData>
  <mergeCells count="30">
    <mergeCell ref="H16:I16"/>
    <mergeCell ref="I11:M11"/>
    <mergeCell ref="I12:M12"/>
    <mergeCell ref="C3:N5"/>
    <mergeCell ref="D11:G11"/>
    <mergeCell ref="D12:G12"/>
    <mergeCell ref="H9:I9"/>
    <mergeCell ref="I13:M13"/>
    <mergeCell ref="C26:D26"/>
    <mergeCell ref="H26:N26"/>
    <mergeCell ref="D18:G18"/>
    <mergeCell ref="D19:G19"/>
    <mergeCell ref="D20:G20"/>
    <mergeCell ref="D21:G21"/>
    <mergeCell ref="I19:L20"/>
    <mergeCell ref="N19:N20"/>
    <mergeCell ref="H19:H20"/>
    <mergeCell ref="M19:M20"/>
    <mergeCell ref="C38:D38"/>
    <mergeCell ref="C28:D28"/>
    <mergeCell ref="C30:D30"/>
    <mergeCell ref="C32:D32"/>
    <mergeCell ref="C34:D34"/>
    <mergeCell ref="C36:D36"/>
    <mergeCell ref="C48:D48"/>
    <mergeCell ref="C42:D42"/>
    <mergeCell ref="C44:D44"/>
    <mergeCell ref="C46:D46"/>
    <mergeCell ref="C52:D52"/>
    <mergeCell ref="C50:D50"/>
  </mergeCells>
  <hyperlinks>
    <hyperlink ref="H29" location="'1. Base Year Licences'!A1" display="1.Base Year" xr:uid="{00000000-0004-0000-0000-000000000000}"/>
    <hyperlink ref="H30" location="'2. WC Level Data'!A1" display="2.WC Level Data" xr:uid="{00000000-0004-0000-0000-000001000000}"/>
    <hyperlink ref="H32" location="'4. Options Appraisal Summary'!A1" display="4.Options Appraisal Summary" xr:uid="{00000000-0004-0000-0000-000002000000}"/>
    <hyperlink ref="H33" location="'TITLE PAGE'!A1" display="5. Options Benefit" xr:uid="{00000000-0004-0000-0000-000003000000}"/>
    <hyperlink ref="H36" location="'TITLE PAGE'!A1" display="7. Adaptive Programmes" xr:uid="{00000000-0004-0000-0000-000004000000}"/>
    <hyperlink ref="H37" location="'8. Business Plan Links '!A1" display="8. Business Plan Links" xr:uid="{00000000-0004-0000-0000-000005000000}"/>
    <hyperlink ref="I12" r:id="rId1" xr:uid="{00000000-0004-0000-0000-000006000000}"/>
    <hyperlink ref="I13" r:id="rId2" display="wrepp@cyfoethnaturiolcymru.gov.uk" xr:uid="{00000000-0004-0000-0000-000007000000}"/>
    <hyperlink ref="H35" location="'6. Drought Plan Links'!A1" display="6. Drought Plan Links" xr:uid="{00000000-0004-0000-0000-000008000000}"/>
    <hyperlink ref="H34" location="'TITLE PAGE'!A1" display="5a-5c. Cost Profiles" xr:uid="{00000000-0004-0000-0000-000009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1:AA280"/>
  <sheetViews>
    <sheetView topLeftCell="A173" zoomScale="85" zoomScaleNormal="85" workbookViewId="0">
      <selection activeCell="E193" sqref="E193"/>
    </sheetView>
  </sheetViews>
  <sheetFormatPr defaultColWidth="8.84375" defaultRowHeight="14" x14ac:dyDescent="0.3"/>
  <cols>
    <col min="1" max="1" width="2.15234375" style="253" customWidth="1"/>
    <col min="2" max="2" width="32" style="253" customWidth="1"/>
    <col min="3" max="3" width="57" style="253" customWidth="1"/>
    <col min="4" max="4" width="16.07421875" style="253" customWidth="1"/>
    <col min="5" max="5" width="8.84375" style="253"/>
    <col min="6" max="6" width="14.4609375" style="253" customWidth="1"/>
    <col min="7" max="17" width="8.84375" style="253"/>
    <col min="18" max="18" width="8.53515625" style="253" customWidth="1"/>
    <col min="19" max="16384" width="8.84375" style="253"/>
  </cols>
  <sheetData>
    <row r="1" spans="2:27" ht="14.5" thickBot="1" x14ac:dyDescent="0.35"/>
    <row r="2" spans="2:27" ht="35.15" customHeight="1" thickBot="1" x14ac:dyDescent="0.35">
      <c r="B2" s="434" t="s">
        <v>60</v>
      </c>
      <c r="C2" s="69" t="str">
        <f>'TITLE PAGE'!$D$18</f>
        <v>Cambridge Water</v>
      </c>
      <c r="D2" s="432" t="s">
        <v>2</v>
      </c>
      <c r="E2" s="431">
        <v>3</v>
      </c>
      <c r="G2" s="1243" t="s">
        <v>59</v>
      </c>
    </row>
    <row r="3" spans="2:27" ht="42.5" thickBot="1" x14ac:dyDescent="0.35">
      <c r="B3" s="433" t="s">
        <v>214</v>
      </c>
      <c r="C3" s="1256" t="s">
        <v>1531</v>
      </c>
      <c r="D3" s="427" t="s">
        <v>1532</v>
      </c>
      <c r="E3" s="428">
        <v>1009.2809999999999</v>
      </c>
    </row>
    <row r="5" spans="2:27" ht="42" x14ac:dyDescent="0.3">
      <c r="B5" s="206" t="s">
        <v>1533</v>
      </c>
      <c r="G5" s="1738" t="s">
        <v>1534</v>
      </c>
      <c r="H5" s="1783"/>
      <c r="I5" s="1783"/>
      <c r="J5" s="1783"/>
      <c r="K5" s="1783"/>
      <c r="L5" s="1783"/>
      <c r="M5" s="1783"/>
      <c r="N5" s="1783"/>
      <c r="O5" s="1783"/>
      <c r="P5" s="1783"/>
      <c r="Q5" s="1739"/>
      <c r="R5" s="1738" t="s">
        <v>1535</v>
      </c>
      <c r="S5" s="1783"/>
      <c r="T5" s="1783"/>
      <c r="U5" s="1783"/>
      <c r="V5" s="1783"/>
      <c r="W5" s="1783"/>
      <c r="X5" s="1783"/>
      <c r="Y5" s="1783"/>
      <c r="Z5" s="1783"/>
      <c r="AA5" s="1739"/>
    </row>
    <row r="6" spans="2:27" ht="42.5" thickBot="1" x14ac:dyDescent="0.35">
      <c r="B6" s="247" t="s">
        <v>1536</v>
      </c>
      <c r="C6" s="248" t="s">
        <v>1509</v>
      </c>
      <c r="D6" s="248" t="s">
        <v>1510</v>
      </c>
      <c r="E6" s="248" t="s">
        <v>219</v>
      </c>
      <c r="F6" s="249" t="s">
        <v>220</v>
      </c>
      <c r="G6" s="247" t="s">
        <v>221</v>
      </c>
      <c r="H6" s="248" t="s">
        <v>222</v>
      </c>
      <c r="I6" s="248" t="s">
        <v>223</v>
      </c>
      <c r="J6" s="248" t="s">
        <v>224</v>
      </c>
      <c r="K6" s="248" t="s">
        <v>225</v>
      </c>
      <c r="L6" s="248" t="s">
        <v>226</v>
      </c>
      <c r="M6" s="248" t="s">
        <v>227</v>
      </c>
      <c r="N6" s="248" t="s">
        <v>228</v>
      </c>
      <c r="O6" s="248" t="s">
        <v>229</v>
      </c>
      <c r="P6" s="248" t="s">
        <v>230</v>
      </c>
      <c r="Q6" s="249" t="s">
        <v>231</v>
      </c>
      <c r="R6" s="252" t="s">
        <v>1537</v>
      </c>
      <c r="S6" s="250" t="s">
        <v>1538</v>
      </c>
      <c r="T6" s="250" t="s">
        <v>1539</v>
      </c>
      <c r="U6" s="250" t="s">
        <v>1540</v>
      </c>
      <c r="V6" s="250" t="s">
        <v>1541</v>
      </c>
      <c r="W6" s="250" t="s">
        <v>1542</v>
      </c>
      <c r="X6" s="250" t="s">
        <v>1543</v>
      </c>
      <c r="Y6" s="250" t="s">
        <v>1544</v>
      </c>
      <c r="Z6" s="250" t="s">
        <v>1545</v>
      </c>
      <c r="AA6" s="251" t="s">
        <v>1546</v>
      </c>
    </row>
    <row r="7" spans="2:27" x14ac:dyDescent="0.3">
      <c r="B7" s="246" t="s">
        <v>1547</v>
      </c>
      <c r="C7" s="237" t="s">
        <v>1512</v>
      </c>
      <c r="D7" s="238" t="s">
        <v>1513</v>
      </c>
      <c r="E7" s="306" t="s">
        <v>1514</v>
      </c>
      <c r="F7" s="303">
        <v>3</v>
      </c>
      <c r="G7" s="417"/>
      <c r="H7" s="418"/>
      <c r="I7" s="418"/>
      <c r="J7" s="418"/>
      <c r="K7" s="418"/>
      <c r="L7" s="418"/>
      <c r="M7" s="307"/>
      <c r="N7" s="307"/>
      <c r="O7" s="307"/>
      <c r="P7" s="307"/>
      <c r="Q7" s="307"/>
      <c r="R7" s="307"/>
      <c r="S7" s="307"/>
      <c r="T7" s="307"/>
      <c r="U7" s="307"/>
      <c r="V7" s="307"/>
      <c r="W7" s="307"/>
      <c r="X7" s="307"/>
      <c r="Y7" s="307"/>
      <c r="Z7" s="307"/>
      <c r="AA7" s="310"/>
    </row>
    <row r="8" spans="2:27" x14ac:dyDescent="0.3">
      <c r="B8" s="240" t="s">
        <v>1548</v>
      </c>
      <c r="C8" s="51" t="s">
        <v>1516</v>
      </c>
      <c r="D8" s="59" t="s">
        <v>1513</v>
      </c>
      <c r="E8" s="304" t="s">
        <v>1514</v>
      </c>
      <c r="F8" s="292">
        <v>3</v>
      </c>
      <c r="G8" s="419"/>
      <c r="H8" s="420"/>
      <c r="I8" s="420"/>
      <c r="J8" s="420"/>
      <c r="K8" s="420"/>
      <c r="L8" s="420"/>
      <c r="M8" s="308"/>
      <c r="N8" s="308"/>
      <c r="O8" s="308"/>
      <c r="P8" s="308"/>
      <c r="Q8" s="308"/>
      <c r="R8" s="308"/>
      <c r="S8" s="308"/>
      <c r="T8" s="308"/>
      <c r="U8" s="308"/>
      <c r="V8" s="308"/>
      <c r="W8" s="308"/>
      <c r="X8" s="308"/>
      <c r="Y8" s="308"/>
      <c r="Z8" s="308"/>
      <c r="AA8" s="311"/>
    </row>
    <row r="9" spans="2:27" x14ac:dyDescent="0.3">
      <c r="B9" s="241" t="s">
        <v>1549</v>
      </c>
      <c r="C9" s="52" t="s">
        <v>1550</v>
      </c>
      <c r="D9" s="61" t="s">
        <v>1513</v>
      </c>
      <c r="E9" s="305" t="s">
        <v>1514</v>
      </c>
      <c r="F9" s="293">
        <v>3</v>
      </c>
      <c r="G9" s="309">
        <f t="shared" ref="G9:L9" si="0">SUM(G7:G8)</f>
        <v>0</v>
      </c>
      <c r="H9" s="309">
        <f t="shared" si="0"/>
        <v>0</v>
      </c>
      <c r="I9" s="309">
        <f t="shared" si="0"/>
        <v>0</v>
      </c>
      <c r="J9" s="309">
        <f t="shared" si="0"/>
        <v>0</v>
      </c>
      <c r="K9" s="309">
        <f t="shared" si="0"/>
        <v>0</v>
      </c>
      <c r="L9" s="309">
        <f t="shared" si="0"/>
        <v>0</v>
      </c>
      <c r="M9" s="309">
        <f t="shared" ref="M9:AA9" si="1">SUM(M7:M8)</f>
        <v>0</v>
      </c>
      <c r="N9" s="309">
        <f t="shared" si="1"/>
        <v>0</v>
      </c>
      <c r="O9" s="309">
        <f t="shared" si="1"/>
        <v>0</v>
      </c>
      <c r="P9" s="309">
        <f t="shared" si="1"/>
        <v>0</v>
      </c>
      <c r="Q9" s="309">
        <f t="shared" si="1"/>
        <v>0</v>
      </c>
      <c r="R9" s="309">
        <f t="shared" si="1"/>
        <v>0</v>
      </c>
      <c r="S9" s="309">
        <f t="shared" si="1"/>
        <v>0</v>
      </c>
      <c r="T9" s="309">
        <f t="shared" si="1"/>
        <v>0</v>
      </c>
      <c r="U9" s="309">
        <f t="shared" si="1"/>
        <v>0</v>
      </c>
      <c r="V9" s="309">
        <f t="shared" si="1"/>
        <v>0</v>
      </c>
      <c r="W9" s="309">
        <f t="shared" si="1"/>
        <v>0</v>
      </c>
      <c r="X9" s="309">
        <f t="shared" si="1"/>
        <v>0</v>
      </c>
      <c r="Y9" s="309">
        <f t="shared" si="1"/>
        <v>0</v>
      </c>
      <c r="Z9" s="309">
        <f t="shared" si="1"/>
        <v>0</v>
      </c>
      <c r="AA9" s="312">
        <f t="shared" si="1"/>
        <v>0</v>
      </c>
    </row>
    <row r="10" spans="2:27" ht="14.5" thickBot="1" x14ac:dyDescent="0.35">
      <c r="B10" s="242"/>
      <c r="C10" s="243"/>
      <c r="D10" s="63"/>
      <c r="E10" s="244"/>
      <c r="F10" s="245"/>
      <c r="G10" s="254"/>
      <c r="H10" s="254"/>
      <c r="I10" s="254"/>
      <c r="J10" s="254"/>
      <c r="K10" s="254"/>
      <c r="L10" s="254"/>
      <c r="M10" s="254"/>
      <c r="N10" s="254"/>
      <c r="O10" s="254"/>
      <c r="P10" s="254"/>
      <c r="Q10" s="254"/>
      <c r="R10" s="254"/>
      <c r="S10" s="254"/>
      <c r="T10" s="254"/>
      <c r="U10" s="254"/>
      <c r="V10" s="254"/>
      <c r="W10" s="254"/>
      <c r="X10" s="254"/>
      <c r="Y10" s="254"/>
      <c r="Z10" s="254"/>
      <c r="AA10" s="254"/>
    </row>
    <row r="11" spans="2:27" ht="56.5" thickBot="1" x14ac:dyDescent="0.35">
      <c r="B11" s="206" t="s">
        <v>1551</v>
      </c>
      <c r="G11" s="1738" t="s">
        <v>1534</v>
      </c>
      <c r="H11" s="1783"/>
      <c r="I11" s="1783"/>
      <c r="J11" s="1783"/>
      <c r="K11" s="1783"/>
      <c r="L11" s="1783"/>
      <c r="M11" s="1783"/>
      <c r="N11" s="1783"/>
      <c r="O11" s="1783"/>
      <c r="P11" s="1783"/>
      <c r="Q11" s="1739"/>
      <c r="R11" s="1738" t="s">
        <v>1535</v>
      </c>
      <c r="S11" s="1783"/>
      <c r="T11" s="1783"/>
      <c r="U11" s="1783"/>
      <c r="V11" s="1783"/>
      <c r="W11" s="1783"/>
      <c r="X11" s="1783"/>
      <c r="Y11" s="1783"/>
      <c r="Z11" s="1783"/>
      <c r="AA11" s="1739"/>
    </row>
    <row r="12" spans="2:27" ht="42.5" thickBot="1" x14ac:dyDescent="0.35">
      <c r="B12" s="247" t="s">
        <v>1536</v>
      </c>
      <c r="C12" s="248" t="s">
        <v>1509</v>
      </c>
      <c r="D12" s="248" t="s">
        <v>1510</v>
      </c>
      <c r="E12" s="248" t="s">
        <v>219</v>
      </c>
      <c r="F12" s="249" t="s">
        <v>220</v>
      </c>
      <c r="G12" s="247" t="s">
        <v>221</v>
      </c>
      <c r="H12" s="248" t="s">
        <v>222</v>
      </c>
      <c r="I12" s="248" t="s">
        <v>223</v>
      </c>
      <c r="J12" s="248" t="s">
        <v>224</v>
      </c>
      <c r="K12" s="248" t="s">
        <v>225</v>
      </c>
      <c r="L12" s="248" t="s">
        <v>226</v>
      </c>
      <c r="M12" s="248" t="s">
        <v>227</v>
      </c>
      <c r="N12" s="248" t="s">
        <v>228</v>
      </c>
      <c r="O12" s="248" t="s">
        <v>229</v>
      </c>
      <c r="P12" s="248" t="s">
        <v>230</v>
      </c>
      <c r="Q12" s="249" t="s">
        <v>231</v>
      </c>
      <c r="R12" s="252" t="s">
        <v>1537</v>
      </c>
      <c r="S12" s="250" t="s">
        <v>1538</v>
      </c>
      <c r="T12" s="250" t="s">
        <v>1539</v>
      </c>
      <c r="U12" s="250" t="s">
        <v>1540</v>
      </c>
      <c r="V12" s="250" t="s">
        <v>1541</v>
      </c>
      <c r="W12" s="250" t="s">
        <v>1542</v>
      </c>
      <c r="X12" s="250" t="s">
        <v>1543</v>
      </c>
      <c r="Y12" s="250" t="s">
        <v>1544</v>
      </c>
      <c r="Z12" s="250" t="s">
        <v>1545</v>
      </c>
      <c r="AA12" s="251" t="s">
        <v>1546</v>
      </c>
    </row>
    <row r="13" spans="2:27" x14ac:dyDescent="0.3">
      <c r="B13" s="239" t="s">
        <v>1552</v>
      </c>
      <c r="C13" s="51" t="s">
        <v>1553</v>
      </c>
      <c r="D13" s="59" t="s">
        <v>1322</v>
      </c>
      <c r="E13" s="304" t="s">
        <v>1514</v>
      </c>
      <c r="F13" s="292">
        <v>3</v>
      </c>
      <c r="G13" s="419"/>
      <c r="H13" s="419"/>
      <c r="I13" s="419"/>
      <c r="J13" s="419"/>
      <c r="K13" s="419"/>
      <c r="L13" s="419"/>
      <c r="M13" s="1617">
        <v>2.0284</v>
      </c>
      <c r="N13" s="1617">
        <v>2.0284</v>
      </c>
      <c r="O13" s="1617">
        <v>2.0284</v>
      </c>
      <c r="P13" s="1617">
        <v>2.0284</v>
      </c>
      <c r="Q13" s="1617">
        <v>2.0284</v>
      </c>
      <c r="R13" s="1614">
        <v>131.51599999999999</v>
      </c>
      <c r="S13" s="1614">
        <v>150.697</v>
      </c>
      <c r="T13" s="308">
        <v>0</v>
      </c>
      <c r="U13" s="308">
        <v>0</v>
      </c>
      <c r="V13" s="308">
        <v>0</v>
      </c>
      <c r="W13" s="308">
        <v>0</v>
      </c>
      <c r="X13" s="308">
        <v>1.274</v>
      </c>
      <c r="Y13" s="308">
        <v>3.1859999999999999</v>
      </c>
      <c r="Z13" s="308">
        <v>0</v>
      </c>
      <c r="AA13" s="311">
        <v>0</v>
      </c>
    </row>
    <row r="14" spans="2:27" x14ac:dyDescent="0.3">
      <c r="B14" s="240" t="s">
        <v>1554</v>
      </c>
      <c r="C14" s="51" t="s">
        <v>1553</v>
      </c>
      <c r="D14" s="59" t="s">
        <v>1317</v>
      </c>
      <c r="E14" s="304" t="s">
        <v>1514</v>
      </c>
      <c r="F14" s="292">
        <v>3</v>
      </c>
      <c r="G14" s="419"/>
      <c r="H14" s="419"/>
      <c r="I14" s="419"/>
      <c r="J14" s="419"/>
      <c r="K14" s="419"/>
      <c r="L14" s="419"/>
      <c r="M14" s="1617">
        <v>0</v>
      </c>
      <c r="N14" s="1617">
        <v>0</v>
      </c>
      <c r="O14" s="1617">
        <v>0</v>
      </c>
      <c r="P14" s="1617">
        <v>0</v>
      </c>
      <c r="Q14" s="1617">
        <v>0</v>
      </c>
      <c r="R14" s="1614">
        <v>63.2</v>
      </c>
      <c r="S14" s="1614">
        <v>20.638000000000002</v>
      </c>
      <c r="T14" s="308">
        <v>10.166</v>
      </c>
      <c r="U14" s="308">
        <v>10.166</v>
      </c>
      <c r="V14" s="308">
        <v>10.166</v>
      </c>
      <c r="W14" s="308">
        <v>10.166</v>
      </c>
      <c r="X14" s="308">
        <v>10.166</v>
      </c>
      <c r="Y14" s="308">
        <v>10.246499999999999</v>
      </c>
      <c r="Z14" s="308">
        <v>10.5685</v>
      </c>
      <c r="AA14" s="308">
        <v>10.5685</v>
      </c>
    </row>
    <row r="15" spans="2:27" x14ac:dyDescent="0.3">
      <c r="B15" s="240" t="s">
        <v>1555</v>
      </c>
      <c r="C15" s="51" t="s">
        <v>1553</v>
      </c>
      <c r="D15" s="59" t="s">
        <v>1513</v>
      </c>
      <c r="E15" s="304" t="s">
        <v>1514</v>
      </c>
      <c r="F15" s="292">
        <v>3</v>
      </c>
      <c r="G15" s="313">
        <f t="shared" ref="G15:K15" si="2">SUM(G13:G14)</f>
        <v>0</v>
      </c>
      <c r="H15" s="313">
        <f t="shared" si="2"/>
        <v>0</v>
      </c>
      <c r="I15" s="313">
        <f t="shared" si="2"/>
        <v>0</v>
      </c>
      <c r="J15" s="313">
        <f t="shared" si="2"/>
        <v>0</v>
      </c>
      <c r="K15" s="313">
        <f t="shared" si="2"/>
        <v>0</v>
      </c>
      <c r="L15" s="313">
        <f t="shared" ref="L15:AA15" si="3">SUM(L13:L14)</f>
        <v>0</v>
      </c>
      <c r="M15" s="313">
        <f t="shared" si="3"/>
        <v>2.0284</v>
      </c>
      <c r="N15" s="313">
        <f t="shared" si="3"/>
        <v>2.0284</v>
      </c>
      <c r="O15" s="313">
        <f t="shared" si="3"/>
        <v>2.0284</v>
      </c>
      <c r="P15" s="313">
        <f t="shared" si="3"/>
        <v>2.0284</v>
      </c>
      <c r="Q15" s="313">
        <f t="shared" si="3"/>
        <v>2.0284</v>
      </c>
      <c r="R15" s="313">
        <f t="shared" si="3"/>
        <v>194.71600000000001</v>
      </c>
      <c r="S15" s="313">
        <f t="shared" si="3"/>
        <v>171.33500000000001</v>
      </c>
      <c r="T15" s="313">
        <f t="shared" si="3"/>
        <v>10.166</v>
      </c>
      <c r="U15" s="313">
        <f t="shared" si="3"/>
        <v>10.166</v>
      </c>
      <c r="V15" s="313">
        <f t="shared" si="3"/>
        <v>10.166</v>
      </c>
      <c r="W15" s="313">
        <f t="shared" si="3"/>
        <v>10.166</v>
      </c>
      <c r="X15" s="313">
        <f t="shared" si="3"/>
        <v>11.440000000000001</v>
      </c>
      <c r="Y15" s="313">
        <f t="shared" si="3"/>
        <v>13.432499999999999</v>
      </c>
      <c r="Z15" s="313">
        <f t="shared" si="3"/>
        <v>10.5685</v>
      </c>
      <c r="AA15" s="314">
        <f t="shared" si="3"/>
        <v>10.5685</v>
      </c>
    </row>
    <row r="16" spans="2:27" x14ac:dyDescent="0.3">
      <c r="B16" s="239" t="s">
        <v>1556</v>
      </c>
      <c r="C16" s="51" t="s">
        <v>1557</v>
      </c>
      <c r="D16" s="59" t="s">
        <v>1322</v>
      </c>
      <c r="E16" s="304" t="s">
        <v>1514</v>
      </c>
      <c r="F16" s="292">
        <v>3</v>
      </c>
      <c r="G16" s="419"/>
      <c r="H16" s="420"/>
      <c r="I16" s="420"/>
      <c r="J16" s="420"/>
      <c r="K16" s="420"/>
      <c r="L16" s="420"/>
      <c r="M16" s="1614">
        <v>0.53300000000000003</v>
      </c>
      <c r="N16" s="1614">
        <v>0.53300000000000003</v>
      </c>
      <c r="O16" s="1614">
        <v>0.53300000000000003</v>
      </c>
      <c r="P16" s="1614">
        <v>0.53300000000000003</v>
      </c>
      <c r="Q16" s="1614">
        <v>0.53300000000000003</v>
      </c>
      <c r="R16" s="1614">
        <v>0.23400000000000001</v>
      </c>
      <c r="S16" s="1614">
        <v>0.13</v>
      </c>
      <c r="T16" s="1614">
        <v>0.13</v>
      </c>
      <c r="U16" s="1614">
        <v>0.13</v>
      </c>
      <c r="V16" s="308">
        <v>0</v>
      </c>
      <c r="W16" s="308">
        <v>0</v>
      </c>
      <c r="X16" s="308">
        <v>0</v>
      </c>
      <c r="Y16" s="308">
        <v>0</v>
      </c>
      <c r="Z16" s="308">
        <v>0</v>
      </c>
      <c r="AA16" s="308">
        <v>0</v>
      </c>
    </row>
    <row r="17" spans="2:27" x14ac:dyDescent="0.3">
      <c r="B17" s="240" t="s">
        <v>1558</v>
      </c>
      <c r="C17" s="51" t="s">
        <v>1557</v>
      </c>
      <c r="D17" s="59" t="s">
        <v>1317</v>
      </c>
      <c r="E17" s="304" t="s">
        <v>1514</v>
      </c>
      <c r="F17" s="292">
        <v>3</v>
      </c>
      <c r="G17" s="419"/>
      <c r="H17" s="420"/>
      <c r="I17" s="420"/>
      <c r="J17" s="420"/>
      <c r="K17" s="420"/>
      <c r="L17" s="420"/>
      <c r="M17" s="1614">
        <v>0.34699999999999998</v>
      </c>
      <c r="N17" s="1614">
        <v>0.34699999999999998</v>
      </c>
      <c r="O17" s="1614">
        <v>0.34699999999999998</v>
      </c>
      <c r="P17" s="1614">
        <v>0.34699999999999998</v>
      </c>
      <c r="Q17" s="1614">
        <v>0.34699999999999998</v>
      </c>
      <c r="R17" s="1614">
        <v>0.56600000000000006</v>
      </c>
      <c r="S17" s="1614">
        <v>3.07</v>
      </c>
      <c r="T17" s="1614">
        <v>7.0000000000000007E-2</v>
      </c>
      <c r="U17" s="1614">
        <v>0.17</v>
      </c>
      <c r="V17" s="308">
        <v>0</v>
      </c>
      <c r="W17" s="308">
        <v>0</v>
      </c>
      <c r="X17" s="308">
        <v>0</v>
      </c>
      <c r="Y17" s="308">
        <v>0</v>
      </c>
      <c r="Z17" s="308">
        <v>0</v>
      </c>
      <c r="AA17" s="308">
        <v>0</v>
      </c>
    </row>
    <row r="18" spans="2:27" x14ac:dyDescent="0.3">
      <c r="B18" s="240" t="s">
        <v>1559</v>
      </c>
      <c r="C18" s="51" t="s">
        <v>1557</v>
      </c>
      <c r="D18" s="59" t="s">
        <v>1513</v>
      </c>
      <c r="E18" s="304" t="s">
        <v>1514</v>
      </c>
      <c r="F18" s="292">
        <v>3</v>
      </c>
      <c r="G18" s="313">
        <f t="shared" ref="G18:K18" si="4">SUM(G16:G17)</f>
        <v>0</v>
      </c>
      <c r="H18" s="313">
        <f t="shared" si="4"/>
        <v>0</v>
      </c>
      <c r="I18" s="313">
        <f t="shared" si="4"/>
        <v>0</v>
      </c>
      <c r="J18" s="313">
        <f t="shared" si="4"/>
        <v>0</v>
      </c>
      <c r="K18" s="313">
        <f t="shared" si="4"/>
        <v>0</v>
      </c>
      <c r="L18" s="313">
        <f t="shared" ref="L18:AA18" si="5">SUM(L16:L17)</f>
        <v>0</v>
      </c>
      <c r="M18" s="313">
        <f t="shared" si="5"/>
        <v>0.88</v>
      </c>
      <c r="N18" s="313">
        <f t="shared" si="5"/>
        <v>0.88</v>
      </c>
      <c r="O18" s="313">
        <f t="shared" si="5"/>
        <v>0.88</v>
      </c>
      <c r="P18" s="313">
        <f t="shared" si="5"/>
        <v>0.88</v>
      </c>
      <c r="Q18" s="313">
        <f t="shared" si="5"/>
        <v>0.88</v>
      </c>
      <c r="R18" s="313">
        <f t="shared" si="5"/>
        <v>0.8</v>
      </c>
      <c r="S18" s="313">
        <f t="shared" si="5"/>
        <v>3.1999999999999997</v>
      </c>
      <c r="T18" s="313">
        <f t="shared" si="5"/>
        <v>0.2</v>
      </c>
      <c r="U18" s="313">
        <f t="shared" si="5"/>
        <v>0.30000000000000004</v>
      </c>
      <c r="V18" s="313">
        <f t="shared" si="5"/>
        <v>0</v>
      </c>
      <c r="W18" s="313">
        <f t="shared" si="5"/>
        <v>0</v>
      </c>
      <c r="X18" s="313">
        <f t="shared" si="5"/>
        <v>0</v>
      </c>
      <c r="Y18" s="313">
        <f t="shared" si="5"/>
        <v>0</v>
      </c>
      <c r="Z18" s="313">
        <f t="shared" si="5"/>
        <v>0</v>
      </c>
      <c r="AA18" s="314">
        <f t="shared" si="5"/>
        <v>0</v>
      </c>
    </row>
    <row r="19" spans="2:27" x14ac:dyDescent="0.3">
      <c r="B19" s="239" t="s">
        <v>1560</v>
      </c>
      <c r="C19" s="51" t="s">
        <v>1561</v>
      </c>
      <c r="D19" s="59" t="s">
        <v>1322</v>
      </c>
      <c r="E19" s="304" t="s">
        <v>1514</v>
      </c>
      <c r="F19" s="292">
        <v>3</v>
      </c>
      <c r="G19" s="419"/>
      <c r="H19" s="420"/>
      <c r="I19" s="420"/>
      <c r="J19" s="420"/>
      <c r="K19" s="420"/>
      <c r="L19" s="420"/>
      <c r="M19" s="308">
        <v>0.20400000000000001</v>
      </c>
      <c r="N19" s="308">
        <v>0.20400000000000001</v>
      </c>
      <c r="O19" s="308">
        <v>0.20400000000000001</v>
      </c>
      <c r="P19" s="308">
        <v>0.20400000000000001</v>
      </c>
      <c r="Q19" s="308">
        <v>0.20400000000000001</v>
      </c>
      <c r="R19" s="308">
        <v>1.0149999999999999</v>
      </c>
      <c r="S19" s="308">
        <v>11.834999999999999</v>
      </c>
      <c r="T19" s="308">
        <v>4.2924999999999995</v>
      </c>
      <c r="U19" s="308">
        <v>0.755</v>
      </c>
      <c r="V19" s="308">
        <v>0</v>
      </c>
      <c r="W19" s="308">
        <v>0</v>
      </c>
      <c r="X19" s="308">
        <v>0</v>
      </c>
      <c r="Y19" s="308">
        <v>0</v>
      </c>
      <c r="Z19" s="308">
        <v>0</v>
      </c>
      <c r="AA19" s="308">
        <v>0</v>
      </c>
    </row>
    <row r="20" spans="2:27" x14ac:dyDescent="0.3">
      <c r="B20" s="240" t="s">
        <v>1562</v>
      </c>
      <c r="C20" s="51" t="s">
        <v>1561</v>
      </c>
      <c r="D20" s="59" t="s">
        <v>1317</v>
      </c>
      <c r="E20" s="304" t="s">
        <v>1514</v>
      </c>
      <c r="F20" s="292">
        <v>3</v>
      </c>
      <c r="G20" s="419"/>
      <c r="H20" s="420"/>
      <c r="I20" s="420"/>
      <c r="J20" s="420"/>
      <c r="K20" s="420"/>
      <c r="L20" s="420"/>
      <c r="M20" s="308">
        <v>0.504</v>
      </c>
      <c r="N20" s="308">
        <v>0.504</v>
      </c>
      <c r="O20" s="308">
        <v>0.504</v>
      </c>
      <c r="P20" s="308">
        <v>0.504</v>
      </c>
      <c r="Q20" s="308">
        <v>0.504</v>
      </c>
      <c r="R20" s="308">
        <v>1.355</v>
      </c>
      <c r="S20" s="308">
        <v>0.47500000000000003</v>
      </c>
      <c r="T20" s="308">
        <v>0.13750000000000001</v>
      </c>
      <c r="U20" s="308">
        <v>7.4999999999999997E-2</v>
      </c>
      <c r="V20" s="308">
        <v>0</v>
      </c>
      <c r="W20" s="308">
        <v>0</v>
      </c>
      <c r="X20" s="308">
        <v>0</v>
      </c>
      <c r="Y20" s="308">
        <v>0</v>
      </c>
      <c r="Z20" s="308">
        <v>0</v>
      </c>
      <c r="AA20" s="308">
        <v>0</v>
      </c>
    </row>
    <row r="21" spans="2:27" x14ac:dyDescent="0.3">
      <c r="B21" s="240" t="s">
        <v>1563</v>
      </c>
      <c r="C21" s="51" t="s">
        <v>1561</v>
      </c>
      <c r="D21" s="59" t="s">
        <v>1513</v>
      </c>
      <c r="E21" s="304" t="s">
        <v>1514</v>
      </c>
      <c r="F21" s="292">
        <v>3</v>
      </c>
      <c r="G21" s="313">
        <f t="shared" ref="G21:K21" si="6">SUM(G19:G20)</f>
        <v>0</v>
      </c>
      <c r="H21" s="313">
        <f t="shared" si="6"/>
        <v>0</v>
      </c>
      <c r="I21" s="313">
        <f t="shared" si="6"/>
        <v>0</v>
      </c>
      <c r="J21" s="313">
        <f t="shared" si="6"/>
        <v>0</v>
      </c>
      <c r="K21" s="313">
        <f t="shared" si="6"/>
        <v>0</v>
      </c>
      <c r="L21" s="313">
        <f t="shared" ref="L21:AA21" si="7">SUM(L19:L20)</f>
        <v>0</v>
      </c>
      <c r="M21" s="313">
        <f t="shared" si="7"/>
        <v>0.70799999999999996</v>
      </c>
      <c r="N21" s="313">
        <f t="shared" si="7"/>
        <v>0.70799999999999996</v>
      </c>
      <c r="O21" s="313">
        <f t="shared" si="7"/>
        <v>0.70799999999999996</v>
      </c>
      <c r="P21" s="313">
        <f t="shared" si="7"/>
        <v>0.70799999999999996</v>
      </c>
      <c r="Q21" s="313">
        <f t="shared" si="7"/>
        <v>0.70799999999999996</v>
      </c>
      <c r="R21" s="313">
        <f t="shared" si="7"/>
        <v>2.37</v>
      </c>
      <c r="S21" s="313">
        <f t="shared" si="7"/>
        <v>12.309999999999999</v>
      </c>
      <c r="T21" s="313">
        <f t="shared" si="7"/>
        <v>4.43</v>
      </c>
      <c r="U21" s="313">
        <f t="shared" si="7"/>
        <v>0.83</v>
      </c>
      <c r="V21" s="313">
        <f t="shared" si="7"/>
        <v>0</v>
      </c>
      <c r="W21" s="313">
        <f t="shared" si="7"/>
        <v>0</v>
      </c>
      <c r="X21" s="313">
        <f t="shared" si="7"/>
        <v>0</v>
      </c>
      <c r="Y21" s="313">
        <f t="shared" si="7"/>
        <v>0</v>
      </c>
      <c r="Z21" s="313">
        <f t="shared" si="7"/>
        <v>0</v>
      </c>
      <c r="AA21" s="314">
        <f t="shared" si="7"/>
        <v>0</v>
      </c>
    </row>
    <row r="22" spans="2:27" x14ac:dyDescent="0.3">
      <c r="B22" s="239" t="s">
        <v>1564</v>
      </c>
      <c r="C22" s="51" t="s">
        <v>1565</v>
      </c>
      <c r="D22" s="59" t="s">
        <v>1322</v>
      </c>
      <c r="E22" s="304" t="s">
        <v>1514</v>
      </c>
      <c r="F22" s="292">
        <v>3</v>
      </c>
      <c r="G22" s="419"/>
      <c r="H22" s="420"/>
      <c r="I22" s="420"/>
      <c r="J22" s="420"/>
      <c r="K22" s="420"/>
      <c r="L22" s="420"/>
      <c r="M22" s="308">
        <v>0</v>
      </c>
      <c r="N22" s="308">
        <v>0</v>
      </c>
      <c r="O22" s="308">
        <v>0</v>
      </c>
      <c r="P22" s="308">
        <v>0</v>
      </c>
      <c r="Q22" s="308">
        <v>0</v>
      </c>
      <c r="R22" s="308">
        <v>0</v>
      </c>
      <c r="S22" s="308">
        <v>0</v>
      </c>
      <c r="T22" s="308">
        <v>0</v>
      </c>
      <c r="U22" s="308">
        <v>0</v>
      </c>
      <c r="V22" s="308">
        <v>0</v>
      </c>
      <c r="W22" s="308">
        <v>0</v>
      </c>
      <c r="X22" s="308">
        <v>0</v>
      </c>
      <c r="Y22" s="308">
        <v>0</v>
      </c>
      <c r="Z22" s="308">
        <v>0</v>
      </c>
      <c r="AA22" s="308">
        <v>0</v>
      </c>
    </row>
    <row r="23" spans="2:27" x14ac:dyDescent="0.3">
      <c r="B23" s="240" t="s">
        <v>1566</v>
      </c>
      <c r="C23" s="51" t="s">
        <v>1565</v>
      </c>
      <c r="D23" s="59" t="s">
        <v>1317</v>
      </c>
      <c r="E23" s="304" t="s">
        <v>1514</v>
      </c>
      <c r="F23" s="292">
        <v>3</v>
      </c>
      <c r="G23" s="419"/>
      <c r="H23" s="420"/>
      <c r="I23" s="420"/>
      <c r="J23" s="420"/>
      <c r="K23" s="420"/>
      <c r="L23" s="420"/>
      <c r="M23" s="308">
        <v>0</v>
      </c>
      <c r="N23" s="308">
        <v>0</v>
      </c>
      <c r="O23" s="308">
        <v>0</v>
      </c>
      <c r="P23" s="308">
        <v>0</v>
      </c>
      <c r="Q23" s="308">
        <v>0</v>
      </c>
      <c r="R23" s="308">
        <v>0</v>
      </c>
      <c r="S23" s="308">
        <v>0</v>
      </c>
      <c r="T23" s="308">
        <v>0</v>
      </c>
      <c r="U23" s="308">
        <v>0</v>
      </c>
      <c r="V23" s="308">
        <v>0</v>
      </c>
      <c r="W23" s="308">
        <v>0</v>
      </c>
      <c r="X23" s="308">
        <v>0</v>
      </c>
      <c r="Y23" s="308">
        <v>0</v>
      </c>
      <c r="Z23" s="308">
        <v>0</v>
      </c>
      <c r="AA23" s="308">
        <v>0</v>
      </c>
    </row>
    <row r="24" spans="2:27" x14ac:dyDescent="0.3">
      <c r="B24" s="240" t="s">
        <v>1567</v>
      </c>
      <c r="C24" s="51" t="s">
        <v>1565</v>
      </c>
      <c r="D24" s="59" t="s">
        <v>1513</v>
      </c>
      <c r="E24" s="304" t="s">
        <v>1514</v>
      </c>
      <c r="F24" s="292">
        <v>3</v>
      </c>
      <c r="G24" s="313">
        <f t="shared" ref="G24:K24" si="8">SUM(G22:G23)</f>
        <v>0</v>
      </c>
      <c r="H24" s="313">
        <f t="shared" si="8"/>
        <v>0</v>
      </c>
      <c r="I24" s="313">
        <f t="shared" si="8"/>
        <v>0</v>
      </c>
      <c r="J24" s="313">
        <f t="shared" si="8"/>
        <v>0</v>
      </c>
      <c r="K24" s="313">
        <f t="shared" si="8"/>
        <v>0</v>
      </c>
      <c r="L24" s="313">
        <f t="shared" ref="L24:AA24" si="9">SUM(L22:L23)</f>
        <v>0</v>
      </c>
      <c r="M24" s="313">
        <f t="shared" si="9"/>
        <v>0</v>
      </c>
      <c r="N24" s="313">
        <f t="shared" si="9"/>
        <v>0</v>
      </c>
      <c r="O24" s="313">
        <f t="shared" si="9"/>
        <v>0</v>
      </c>
      <c r="P24" s="313">
        <f t="shared" si="9"/>
        <v>0</v>
      </c>
      <c r="Q24" s="313">
        <f t="shared" si="9"/>
        <v>0</v>
      </c>
      <c r="R24" s="313">
        <f t="shared" si="9"/>
        <v>0</v>
      </c>
      <c r="S24" s="313">
        <f t="shared" si="9"/>
        <v>0</v>
      </c>
      <c r="T24" s="309">
        <f t="shared" si="9"/>
        <v>0</v>
      </c>
      <c r="U24" s="309">
        <f t="shared" si="9"/>
        <v>0</v>
      </c>
      <c r="V24" s="309">
        <f t="shared" si="9"/>
        <v>0</v>
      </c>
      <c r="W24" s="313">
        <f t="shared" si="9"/>
        <v>0</v>
      </c>
      <c r="X24" s="313">
        <f t="shared" si="9"/>
        <v>0</v>
      </c>
      <c r="Y24" s="313">
        <f t="shared" si="9"/>
        <v>0</v>
      </c>
      <c r="Z24" s="313">
        <f t="shared" si="9"/>
        <v>0</v>
      </c>
      <c r="AA24" s="314">
        <f t="shared" si="9"/>
        <v>0</v>
      </c>
    </row>
    <row r="25" spans="2:27" x14ac:dyDescent="0.3">
      <c r="B25" s="239" t="s">
        <v>1568</v>
      </c>
      <c r="C25" s="51" t="s">
        <v>1569</v>
      </c>
      <c r="D25" s="59" t="s">
        <v>1322</v>
      </c>
      <c r="E25" s="304" t="s">
        <v>1514</v>
      </c>
      <c r="F25" s="292">
        <v>3</v>
      </c>
      <c r="G25" s="419"/>
      <c r="H25" s="420"/>
      <c r="I25" s="420"/>
      <c r="J25" s="420"/>
      <c r="K25" s="420"/>
      <c r="L25" s="420"/>
      <c r="M25" s="308">
        <v>43.595629510019108</v>
      </c>
      <c r="N25" s="308">
        <v>43.595629510019108</v>
      </c>
      <c r="O25" s="308">
        <v>43.595629510019108</v>
      </c>
      <c r="P25" s="308">
        <v>43.595629510019108</v>
      </c>
      <c r="Q25" s="308">
        <v>17.960332187626253</v>
      </c>
      <c r="R25" s="308">
        <v>341.25</v>
      </c>
      <c r="S25" s="308">
        <v>0</v>
      </c>
      <c r="T25" s="1686">
        <v>1.6435264573916888</v>
      </c>
      <c r="U25" s="308">
        <v>0</v>
      </c>
      <c r="V25" s="1686">
        <v>37.444384733997417</v>
      </c>
      <c r="W25" s="308">
        <v>29.199939708807381</v>
      </c>
      <c r="X25" s="308">
        <v>12.457217695297153</v>
      </c>
      <c r="Y25" s="308">
        <v>0</v>
      </c>
      <c r="Z25" s="308">
        <v>39.503605703952879</v>
      </c>
      <c r="AA25" s="308">
        <v>0</v>
      </c>
    </row>
    <row r="26" spans="2:27" x14ac:dyDescent="0.3">
      <c r="B26" s="240" t="s">
        <v>1570</v>
      </c>
      <c r="C26" s="51" t="s">
        <v>1569</v>
      </c>
      <c r="D26" s="59" t="s">
        <v>1317</v>
      </c>
      <c r="E26" s="304" t="s">
        <v>1514</v>
      </c>
      <c r="F26" s="292">
        <v>3</v>
      </c>
      <c r="G26" s="419"/>
      <c r="H26" s="420"/>
      <c r="I26" s="420"/>
      <c r="J26" s="420"/>
      <c r="K26" s="420"/>
      <c r="L26" s="420"/>
      <c r="M26" s="308">
        <v>0</v>
      </c>
      <c r="N26" s="308">
        <v>0</v>
      </c>
      <c r="O26" s="308">
        <v>0</v>
      </c>
      <c r="P26" s="308">
        <v>0</v>
      </c>
      <c r="Q26" s="308">
        <v>0</v>
      </c>
      <c r="R26" s="308">
        <v>0</v>
      </c>
      <c r="S26" s="1614">
        <v>12.56</v>
      </c>
      <c r="T26" s="1614">
        <v>12.56</v>
      </c>
      <c r="U26" s="1614">
        <v>12.56</v>
      </c>
      <c r="V26" s="1614">
        <v>12.56</v>
      </c>
      <c r="W26" s="1614">
        <v>12.56</v>
      </c>
      <c r="X26" s="1614">
        <v>12.56</v>
      </c>
      <c r="Y26" s="1614">
        <v>12.56</v>
      </c>
      <c r="Z26" s="1614">
        <v>12.56</v>
      </c>
      <c r="AA26" s="1614">
        <v>12.56</v>
      </c>
    </row>
    <row r="27" spans="2:27" x14ac:dyDescent="0.3">
      <c r="B27" s="240" t="s">
        <v>1571</v>
      </c>
      <c r="C27" s="51" t="s">
        <v>1569</v>
      </c>
      <c r="D27" s="59" t="s">
        <v>1513</v>
      </c>
      <c r="E27" s="304" t="s">
        <v>1514</v>
      </c>
      <c r="F27" s="292">
        <v>3</v>
      </c>
      <c r="G27" s="313">
        <f t="shared" ref="G27:K27" si="10">SUM(G25:G26)</f>
        <v>0</v>
      </c>
      <c r="H27" s="313">
        <f t="shared" si="10"/>
        <v>0</v>
      </c>
      <c r="I27" s="313">
        <f t="shared" si="10"/>
        <v>0</v>
      </c>
      <c r="J27" s="313">
        <f t="shared" si="10"/>
        <v>0</v>
      </c>
      <c r="K27" s="313">
        <f t="shared" si="10"/>
        <v>0</v>
      </c>
      <c r="L27" s="313">
        <f t="shared" ref="L27:U27" si="11">SUM(L25:L26)</f>
        <v>0</v>
      </c>
      <c r="M27" s="313">
        <f t="shared" si="11"/>
        <v>43.595629510019108</v>
      </c>
      <c r="N27" s="313">
        <f t="shared" si="11"/>
        <v>43.595629510019108</v>
      </c>
      <c r="O27" s="313">
        <f t="shared" si="11"/>
        <v>43.595629510019108</v>
      </c>
      <c r="P27" s="313">
        <f t="shared" si="11"/>
        <v>43.595629510019108</v>
      </c>
      <c r="Q27" s="313">
        <f t="shared" si="11"/>
        <v>17.960332187626253</v>
      </c>
      <c r="R27" s="313">
        <f t="shared" si="11"/>
        <v>341.25</v>
      </c>
      <c r="S27" s="313">
        <f t="shared" si="11"/>
        <v>12.56</v>
      </c>
      <c r="T27" s="313">
        <f t="shared" si="11"/>
        <v>14.203526457391689</v>
      </c>
      <c r="U27" s="313">
        <f t="shared" si="11"/>
        <v>12.56</v>
      </c>
      <c r="V27" s="313">
        <f>SUM('5a-5c. Cost Profiles'!AS151:AW152)</f>
        <v>12.55946844396</v>
      </c>
      <c r="W27" s="313">
        <f>SUM('5a-5c. Cost Profiles'!AT151:AX152)</f>
        <v>12.55946844396</v>
      </c>
      <c r="X27" s="313">
        <f>SUM('5a-5c. Cost Profiles'!AU151:AY152)</f>
        <v>12.55946844396</v>
      </c>
      <c r="Y27" s="313">
        <f>SUM('5a-5c. Cost Profiles'!AV151:AZ152)</f>
        <v>12.55946844396</v>
      </c>
      <c r="Z27" s="313">
        <f>SUM('5a-5c. Cost Profiles'!AW151:BA152)</f>
        <v>12.55946844396</v>
      </c>
      <c r="AA27" s="313">
        <f>SUM('5a-5c. Cost Profiles'!AX151:BB152)</f>
        <v>12.55946844396</v>
      </c>
    </row>
    <row r="28" spans="2:27" ht="14.5" thickBot="1" x14ac:dyDescent="0.35">
      <c r="B28" s="241" t="s">
        <v>1572</v>
      </c>
      <c r="C28" s="52" t="s">
        <v>1573</v>
      </c>
      <c r="D28" s="61" t="s">
        <v>1513</v>
      </c>
      <c r="E28" s="305" t="s">
        <v>1514</v>
      </c>
      <c r="F28" s="293">
        <v>3</v>
      </c>
      <c r="G28" s="309">
        <f t="shared" ref="G28:K28" si="12">SUM(G27,G24,G21,G18,G15)</f>
        <v>0</v>
      </c>
      <c r="H28" s="309">
        <f t="shared" si="12"/>
        <v>0</v>
      </c>
      <c r="I28" s="309">
        <f t="shared" si="12"/>
        <v>0</v>
      </c>
      <c r="J28" s="309">
        <f t="shared" si="12"/>
        <v>0</v>
      </c>
      <c r="K28" s="309">
        <f t="shared" si="12"/>
        <v>0</v>
      </c>
      <c r="L28" s="309">
        <f t="shared" ref="L28:AA28" si="13">SUM(L27,L24,L21,L18,L15)</f>
        <v>0</v>
      </c>
      <c r="M28" s="309">
        <f t="shared" si="13"/>
        <v>47.212029510019107</v>
      </c>
      <c r="N28" s="309">
        <f t="shared" si="13"/>
        <v>47.212029510019107</v>
      </c>
      <c r="O28" s="309">
        <f t="shared" si="13"/>
        <v>47.212029510019107</v>
      </c>
      <c r="P28" s="309">
        <f t="shared" si="13"/>
        <v>47.212029510019107</v>
      </c>
      <c r="Q28" s="309">
        <f t="shared" si="13"/>
        <v>21.576732187626252</v>
      </c>
      <c r="R28" s="309">
        <f t="shared" si="13"/>
        <v>539.13599999999997</v>
      </c>
      <c r="S28" s="309">
        <f t="shared" si="13"/>
        <v>199.405</v>
      </c>
      <c r="T28" s="309">
        <f t="shared" si="13"/>
        <v>28.999526457391688</v>
      </c>
      <c r="U28" s="309">
        <f t="shared" si="13"/>
        <v>23.856000000000002</v>
      </c>
      <c r="V28" s="309">
        <f t="shared" si="13"/>
        <v>22.725468443960001</v>
      </c>
      <c r="W28" s="309">
        <f t="shared" si="13"/>
        <v>22.725468443960001</v>
      </c>
      <c r="X28" s="309">
        <f t="shared" si="13"/>
        <v>23.999468443960001</v>
      </c>
      <c r="Y28" s="309">
        <f t="shared" si="13"/>
        <v>25.991968443959998</v>
      </c>
      <c r="Z28" s="309">
        <f t="shared" si="13"/>
        <v>23.12796844396</v>
      </c>
      <c r="AA28" s="312">
        <f t="shared" si="13"/>
        <v>23.12796844396</v>
      </c>
    </row>
    <row r="29" spans="2:27" ht="14.5" thickBot="1" x14ac:dyDescent="0.35">
      <c r="B29" s="242"/>
      <c r="C29" s="243"/>
      <c r="D29" s="63"/>
      <c r="E29" s="244"/>
      <c r="F29" s="245"/>
      <c r="G29" s="254"/>
      <c r="H29" s="254"/>
      <c r="I29" s="254"/>
      <c r="J29" s="254"/>
      <c r="K29" s="254"/>
      <c r="L29" s="254"/>
      <c r="M29" s="254"/>
      <c r="N29" s="254"/>
      <c r="O29" s="254"/>
      <c r="P29" s="254"/>
      <c r="Q29" s="254"/>
      <c r="R29" s="254"/>
      <c r="S29" s="254"/>
      <c r="T29" s="254"/>
      <c r="U29" s="254"/>
      <c r="V29" s="254"/>
      <c r="W29" s="254"/>
      <c r="X29" s="254"/>
      <c r="Y29" s="254"/>
      <c r="Z29" s="254"/>
      <c r="AA29" s="254"/>
    </row>
    <row r="30" spans="2:27" ht="56.5" thickBot="1" x14ac:dyDescent="0.35">
      <c r="B30" s="206" t="s">
        <v>1574</v>
      </c>
      <c r="G30" s="1738" t="s">
        <v>1534</v>
      </c>
      <c r="H30" s="1783"/>
      <c r="I30" s="1783"/>
      <c r="J30" s="1783"/>
      <c r="K30" s="1783"/>
      <c r="L30" s="1783"/>
      <c r="M30" s="1783"/>
      <c r="N30" s="1783"/>
      <c r="O30" s="1783"/>
      <c r="P30" s="1783"/>
      <c r="Q30" s="1739"/>
      <c r="R30" s="1738" t="s">
        <v>1535</v>
      </c>
      <c r="S30" s="1783"/>
      <c r="T30" s="1783"/>
      <c r="U30" s="1783"/>
      <c r="V30" s="1783"/>
      <c r="W30" s="1783"/>
      <c r="X30" s="1783"/>
      <c r="Y30" s="1783"/>
      <c r="Z30" s="1783"/>
      <c r="AA30" s="1739"/>
    </row>
    <row r="31" spans="2:27" ht="42.5" thickBot="1" x14ac:dyDescent="0.35">
      <c r="B31" s="1183" t="s">
        <v>1536</v>
      </c>
      <c r="C31" s="1184" t="s">
        <v>1509</v>
      </c>
      <c r="D31" s="1184" t="s">
        <v>1510</v>
      </c>
      <c r="E31" s="1184" t="s">
        <v>219</v>
      </c>
      <c r="F31" s="1185" t="s">
        <v>220</v>
      </c>
      <c r="G31" s="247" t="s">
        <v>221</v>
      </c>
      <c r="H31" s="248" t="s">
        <v>222</v>
      </c>
      <c r="I31" s="248" t="s">
        <v>223</v>
      </c>
      <c r="J31" s="248" t="s">
        <v>224</v>
      </c>
      <c r="K31" s="248" t="s">
        <v>225</v>
      </c>
      <c r="L31" s="248" t="s">
        <v>226</v>
      </c>
      <c r="M31" s="248" t="s">
        <v>227</v>
      </c>
      <c r="N31" s="248" t="s">
        <v>228</v>
      </c>
      <c r="O31" s="248" t="s">
        <v>229</v>
      </c>
      <c r="P31" s="248" t="s">
        <v>230</v>
      </c>
      <c r="Q31" s="249" t="s">
        <v>231</v>
      </c>
      <c r="R31" s="252" t="s">
        <v>1537</v>
      </c>
      <c r="S31" s="250" t="s">
        <v>1538</v>
      </c>
      <c r="T31" s="250" t="s">
        <v>1539</v>
      </c>
      <c r="U31" s="250" t="s">
        <v>1540</v>
      </c>
      <c r="V31" s="250" t="s">
        <v>1541</v>
      </c>
      <c r="W31" s="250" t="s">
        <v>1542</v>
      </c>
      <c r="X31" s="250" t="s">
        <v>1543</v>
      </c>
      <c r="Y31" s="250" t="s">
        <v>1544</v>
      </c>
      <c r="Z31" s="250" t="s">
        <v>1545</v>
      </c>
      <c r="AA31" s="251" t="s">
        <v>1546</v>
      </c>
    </row>
    <row r="32" spans="2:27" x14ac:dyDescent="0.3">
      <c r="B32" s="1176" t="s">
        <v>1575</v>
      </c>
      <c r="C32" s="1177" t="s">
        <v>1576</v>
      </c>
      <c r="D32" s="1178" t="s">
        <v>1322</v>
      </c>
      <c r="E32" s="1186" t="s">
        <v>1514</v>
      </c>
      <c r="F32" s="1180">
        <v>3</v>
      </c>
      <c r="G32" s="421"/>
      <c r="H32" s="422"/>
      <c r="I32" s="422"/>
      <c r="J32" s="422"/>
      <c r="K32" s="422"/>
      <c r="L32" s="422"/>
      <c r="M32" s="315">
        <v>0</v>
      </c>
      <c r="N32" s="315">
        <v>0</v>
      </c>
      <c r="O32" s="315">
        <v>0</v>
      </c>
      <c r="P32" s="315">
        <v>0</v>
      </c>
      <c r="Q32" s="315">
        <v>0</v>
      </c>
      <c r="R32" s="315">
        <v>0</v>
      </c>
      <c r="S32" s="315">
        <v>0</v>
      </c>
      <c r="T32" s="315">
        <v>0</v>
      </c>
      <c r="U32" s="315">
        <v>0</v>
      </c>
      <c r="V32" s="315">
        <v>0</v>
      </c>
      <c r="W32" s="315">
        <v>0</v>
      </c>
      <c r="X32" s="315">
        <v>0</v>
      </c>
      <c r="Y32" s="315">
        <v>0</v>
      </c>
      <c r="Z32" s="315">
        <v>0</v>
      </c>
      <c r="AA32" s="316">
        <v>0</v>
      </c>
    </row>
    <row r="33" spans="2:27" x14ac:dyDescent="0.3">
      <c r="B33" s="240" t="s">
        <v>1577</v>
      </c>
      <c r="C33" s="51" t="s">
        <v>1578</v>
      </c>
      <c r="D33" s="59" t="s">
        <v>1322</v>
      </c>
      <c r="E33" s="304" t="s">
        <v>1514</v>
      </c>
      <c r="F33" s="292">
        <v>3</v>
      </c>
      <c r="G33" s="419"/>
      <c r="H33" s="419"/>
      <c r="I33" s="419"/>
      <c r="J33" s="419"/>
      <c r="K33" s="419"/>
      <c r="L33" s="419"/>
      <c r="M33" s="1181">
        <v>0</v>
      </c>
      <c r="N33" s="1181">
        <v>0</v>
      </c>
      <c r="O33" s="1181">
        <v>0</v>
      </c>
      <c r="P33" s="1181">
        <v>0</v>
      </c>
      <c r="Q33" s="1181">
        <v>0</v>
      </c>
      <c r="R33" s="1181">
        <v>0</v>
      </c>
      <c r="S33" s="1181">
        <v>0</v>
      </c>
      <c r="T33" s="1181">
        <v>0</v>
      </c>
      <c r="U33" s="1181">
        <v>0</v>
      </c>
      <c r="V33" s="1181">
        <v>0</v>
      </c>
      <c r="W33" s="1181">
        <v>0</v>
      </c>
      <c r="X33" s="1181">
        <v>0</v>
      </c>
      <c r="Y33" s="1181">
        <v>0</v>
      </c>
      <c r="Z33" s="1181">
        <v>0</v>
      </c>
      <c r="AA33" s="1182">
        <v>0</v>
      </c>
    </row>
    <row r="34" spans="2:27" x14ac:dyDescent="0.3">
      <c r="B34" s="240" t="s">
        <v>1579</v>
      </c>
      <c r="C34" s="51" t="s">
        <v>1580</v>
      </c>
      <c r="D34" s="59" t="s">
        <v>1322</v>
      </c>
      <c r="E34" s="304" t="s">
        <v>1514</v>
      </c>
      <c r="F34" s="292">
        <v>3</v>
      </c>
      <c r="G34" s="419"/>
      <c r="H34" s="419"/>
      <c r="I34" s="419"/>
      <c r="J34" s="419"/>
      <c r="K34" s="419"/>
      <c r="L34" s="419"/>
      <c r="M34" s="1181">
        <v>0</v>
      </c>
      <c r="N34" s="1181">
        <v>0</v>
      </c>
      <c r="O34" s="1181">
        <v>0</v>
      </c>
      <c r="P34" s="1181">
        <v>0</v>
      </c>
      <c r="Q34" s="1181">
        <v>0</v>
      </c>
      <c r="R34" s="1181">
        <v>0</v>
      </c>
      <c r="S34" s="1181">
        <v>0</v>
      </c>
      <c r="T34" s="1181">
        <v>0</v>
      </c>
      <c r="U34" s="1181">
        <v>0</v>
      </c>
      <c r="V34" s="1181">
        <v>0</v>
      </c>
      <c r="W34" s="1181">
        <v>0</v>
      </c>
      <c r="X34" s="1181">
        <v>0</v>
      </c>
      <c r="Y34" s="1181">
        <v>0</v>
      </c>
      <c r="Z34" s="1181">
        <v>0</v>
      </c>
      <c r="AA34" s="1182">
        <v>0</v>
      </c>
    </row>
    <row r="35" spans="2:27" x14ac:dyDescent="0.3">
      <c r="B35" s="240" t="s">
        <v>1581</v>
      </c>
      <c r="C35" s="51" t="s">
        <v>1582</v>
      </c>
      <c r="D35" s="59" t="s">
        <v>1322</v>
      </c>
      <c r="E35" s="304" t="s">
        <v>1514</v>
      </c>
      <c r="F35" s="292">
        <v>3</v>
      </c>
      <c r="G35" s="419"/>
      <c r="H35" s="419"/>
      <c r="I35" s="419"/>
      <c r="J35" s="419"/>
      <c r="K35" s="419"/>
      <c r="L35" s="419"/>
      <c r="M35" s="1181">
        <v>0</v>
      </c>
      <c r="N35" s="1181">
        <v>0</v>
      </c>
      <c r="O35" s="1181">
        <v>0</v>
      </c>
      <c r="P35" s="1181">
        <v>0</v>
      </c>
      <c r="Q35" s="1181">
        <v>0</v>
      </c>
      <c r="R35" s="1181">
        <v>0</v>
      </c>
      <c r="S35" s="1181">
        <v>0</v>
      </c>
      <c r="T35" s="1181">
        <v>0</v>
      </c>
      <c r="U35" s="1181">
        <v>0</v>
      </c>
      <c r="V35" s="1181">
        <v>0</v>
      </c>
      <c r="W35" s="1181">
        <v>0</v>
      </c>
      <c r="X35" s="1181">
        <v>0</v>
      </c>
      <c r="Y35" s="1181">
        <v>0</v>
      </c>
      <c r="Z35" s="1181">
        <v>0</v>
      </c>
      <c r="AA35" s="1182">
        <v>0</v>
      </c>
    </row>
    <row r="36" spans="2:27" x14ac:dyDescent="0.3">
      <c r="B36" s="240" t="s">
        <v>1583</v>
      </c>
      <c r="C36" s="51" t="s">
        <v>1576</v>
      </c>
      <c r="D36" s="59" t="s">
        <v>1317</v>
      </c>
      <c r="E36" s="304" t="s">
        <v>1514</v>
      </c>
      <c r="F36" s="292">
        <v>3</v>
      </c>
      <c r="G36" s="421"/>
      <c r="H36" s="422"/>
      <c r="I36" s="422"/>
      <c r="J36" s="422"/>
      <c r="K36" s="422"/>
      <c r="L36" s="422"/>
      <c r="M36" s="315">
        <v>0</v>
      </c>
      <c r="N36" s="315">
        <v>0</v>
      </c>
      <c r="O36" s="315">
        <v>0</v>
      </c>
      <c r="P36" s="315">
        <v>0</v>
      </c>
      <c r="Q36" s="315">
        <v>0</v>
      </c>
      <c r="R36" s="315">
        <v>0</v>
      </c>
      <c r="S36" s="315">
        <v>0</v>
      </c>
      <c r="T36" s="315">
        <v>0</v>
      </c>
      <c r="U36" s="315">
        <v>0</v>
      </c>
      <c r="V36" s="315">
        <v>0</v>
      </c>
      <c r="W36" s="315">
        <v>0</v>
      </c>
      <c r="X36" s="315">
        <v>0</v>
      </c>
      <c r="Y36" s="315">
        <v>0</v>
      </c>
      <c r="Z36" s="315">
        <v>0</v>
      </c>
      <c r="AA36" s="316">
        <v>0</v>
      </c>
    </row>
    <row r="37" spans="2:27" x14ac:dyDescent="0.3">
      <c r="B37" s="240" t="s">
        <v>1584</v>
      </c>
      <c r="C37" s="51" t="s">
        <v>1578</v>
      </c>
      <c r="D37" s="59" t="s">
        <v>1317</v>
      </c>
      <c r="E37" s="304" t="s">
        <v>1514</v>
      </c>
      <c r="F37" s="292">
        <v>3</v>
      </c>
      <c r="G37" s="419"/>
      <c r="H37" s="419"/>
      <c r="I37" s="419"/>
      <c r="J37" s="419"/>
      <c r="K37" s="419"/>
      <c r="L37" s="419"/>
      <c r="M37" s="1181">
        <v>0</v>
      </c>
      <c r="N37" s="1181">
        <v>0</v>
      </c>
      <c r="O37" s="1181">
        <v>0</v>
      </c>
      <c r="P37" s="1181">
        <v>0</v>
      </c>
      <c r="Q37" s="1181">
        <v>0</v>
      </c>
      <c r="R37" s="1181">
        <v>0</v>
      </c>
      <c r="S37" s="1181">
        <v>0</v>
      </c>
      <c r="T37" s="1181">
        <v>0</v>
      </c>
      <c r="U37" s="1181">
        <v>0</v>
      </c>
      <c r="V37" s="1181">
        <v>0</v>
      </c>
      <c r="W37" s="1181">
        <v>0</v>
      </c>
      <c r="X37" s="1181">
        <v>0</v>
      </c>
      <c r="Y37" s="1181">
        <v>0</v>
      </c>
      <c r="Z37" s="1181">
        <v>0</v>
      </c>
      <c r="AA37" s="1182">
        <v>0</v>
      </c>
    </row>
    <row r="38" spans="2:27" x14ac:dyDescent="0.3">
      <c r="B38" s="240" t="s">
        <v>1585</v>
      </c>
      <c r="C38" s="51" t="s">
        <v>1580</v>
      </c>
      <c r="D38" s="59" t="s">
        <v>1317</v>
      </c>
      <c r="E38" s="304" t="s">
        <v>1514</v>
      </c>
      <c r="F38" s="292">
        <v>3</v>
      </c>
      <c r="G38" s="419"/>
      <c r="H38" s="419"/>
      <c r="I38" s="419"/>
      <c r="J38" s="419"/>
      <c r="K38" s="419"/>
      <c r="L38" s="419"/>
      <c r="M38" s="1181">
        <v>0</v>
      </c>
      <c r="N38" s="1181">
        <v>0</v>
      </c>
      <c r="O38" s="1181">
        <v>0</v>
      </c>
      <c r="P38" s="1181">
        <v>0</v>
      </c>
      <c r="Q38" s="1181">
        <v>0</v>
      </c>
      <c r="R38" s="1181">
        <v>0</v>
      </c>
      <c r="S38" s="1181">
        <v>0</v>
      </c>
      <c r="T38" s="1181">
        <v>0</v>
      </c>
      <c r="U38" s="1181">
        <v>0</v>
      </c>
      <c r="V38" s="1181">
        <v>0</v>
      </c>
      <c r="W38" s="1181">
        <v>0</v>
      </c>
      <c r="X38" s="1181">
        <v>0</v>
      </c>
      <c r="Y38" s="1181">
        <v>0</v>
      </c>
      <c r="Z38" s="1181">
        <v>0</v>
      </c>
      <c r="AA38" s="1182">
        <v>0</v>
      </c>
    </row>
    <row r="39" spans="2:27" x14ac:dyDescent="0.3">
      <c r="B39" s="240" t="s">
        <v>1586</v>
      </c>
      <c r="C39" s="51" t="s">
        <v>1582</v>
      </c>
      <c r="D39" s="59" t="s">
        <v>1317</v>
      </c>
      <c r="E39" s="304" t="s">
        <v>1514</v>
      </c>
      <c r="F39" s="292">
        <v>3</v>
      </c>
      <c r="G39" s="419"/>
      <c r="H39" s="419"/>
      <c r="I39" s="419"/>
      <c r="J39" s="419"/>
      <c r="K39" s="419"/>
      <c r="L39" s="419"/>
      <c r="M39" s="1181">
        <v>0</v>
      </c>
      <c r="N39" s="1181">
        <v>0</v>
      </c>
      <c r="O39" s="1181">
        <v>0</v>
      </c>
      <c r="P39" s="1181">
        <v>0</v>
      </c>
      <c r="Q39" s="1181">
        <v>0</v>
      </c>
      <c r="R39" s="1181">
        <v>0</v>
      </c>
      <c r="S39" s="1181">
        <v>0</v>
      </c>
      <c r="T39" s="1181">
        <v>0</v>
      </c>
      <c r="U39" s="1181">
        <v>0</v>
      </c>
      <c r="V39" s="1181">
        <v>0</v>
      </c>
      <c r="W39" s="1181">
        <v>0</v>
      </c>
      <c r="X39" s="1181">
        <v>0</v>
      </c>
      <c r="Y39" s="1181">
        <v>0</v>
      </c>
      <c r="Z39" s="1181">
        <v>0</v>
      </c>
      <c r="AA39" s="1182">
        <v>0</v>
      </c>
    </row>
    <row r="40" spans="2:27" x14ac:dyDescent="0.3">
      <c r="B40" s="240" t="s">
        <v>1587</v>
      </c>
      <c r="C40" s="51" t="s">
        <v>1576</v>
      </c>
      <c r="D40" s="59" t="s">
        <v>1513</v>
      </c>
      <c r="E40" s="304" t="s">
        <v>1514</v>
      </c>
      <c r="F40" s="292">
        <v>3</v>
      </c>
      <c r="G40" s="313">
        <f t="shared" ref="G40:K40" si="14">SUM(G32, G36)</f>
        <v>0</v>
      </c>
      <c r="H40" s="313">
        <f t="shared" si="14"/>
        <v>0</v>
      </c>
      <c r="I40" s="313">
        <f t="shared" si="14"/>
        <v>0</v>
      </c>
      <c r="J40" s="313">
        <f t="shared" si="14"/>
        <v>0</v>
      </c>
      <c r="K40" s="313">
        <f t="shared" si="14"/>
        <v>0</v>
      </c>
      <c r="L40" s="313">
        <f>SUM(L32, L36)</f>
        <v>0</v>
      </c>
      <c r="M40" s="313">
        <f t="shared" ref="M40:AA40" si="15">SUM(M32, M36)</f>
        <v>0</v>
      </c>
      <c r="N40" s="313">
        <f t="shared" si="15"/>
        <v>0</v>
      </c>
      <c r="O40" s="313">
        <f t="shared" si="15"/>
        <v>0</v>
      </c>
      <c r="P40" s="313">
        <f t="shared" si="15"/>
        <v>0</v>
      </c>
      <c r="Q40" s="313">
        <f t="shared" si="15"/>
        <v>0</v>
      </c>
      <c r="R40" s="313">
        <f t="shared" si="15"/>
        <v>0</v>
      </c>
      <c r="S40" s="313">
        <f t="shared" si="15"/>
        <v>0</v>
      </c>
      <c r="T40" s="313">
        <f t="shared" si="15"/>
        <v>0</v>
      </c>
      <c r="U40" s="313">
        <f t="shared" si="15"/>
        <v>0</v>
      </c>
      <c r="V40" s="313">
        <f t="shared" si="15"/>
        <v>0</v>
      </c>
      <c r="W40" s="313">
        <f t="shared" si="15"/>
        <v>0</v>
      </c>
      <c r="X40" s="313">
        <f t="shared" si="15"/>
        <v>0</v>
      </c>
      <c r="Y40" s="313">
        <f t="shared" si="15"/>
        <v>0</v>
      </c>
      <c r="Z40" s="313">
        <f t="shared" si="15"/>
        <v>0</v>
      </c>
      <c r="AA40" s="313">
        <f t="shared" si="15"/>
        <v>0</v>
      </c>
    </row>
    <row r="41" spans="2:27" x14ac:dyDescent="0.3">
      <c r="B41" s="240" t="s">
        <v>1588</v>
      </c>
      <c r="C41" s="51" t="s">
        <v>1589</v>
      </c>
      <c r="D41" s="59" t="s">
        <v>1322</v>
      </c>
      <c r="E41" s="304" t="s">
        <v>1514</v>
      </c>
      <c r="F41" s="292">
        <v>3</v>
      </c>
      <c r="G41" s="421"/>
      <c r="H41" s="422"/>
      <c r="I41" s="422"/>
      <c r="J41" s="422"/>
      <c r="K41" s="422"/>
      <c r="L41" s="422"/>
      <c r="M41" s="315">
        <v>0.502</v>
      </c>
      <c r="N41" s="315">
        <v>0.502</v>
      </c>
      <c r="O41" s="315">
        <v>0.502</v>
      </c>
      <c r="P41" s="315">
        <v>0.502</v>
      </c>
      <c r="Q41" s="315">
        <v>0.502</v>
      </c>
      <c r="R41" s="315">
        <v>2.5099999999999998</v>
      </c>
      <c r="S41" s="315">
        <v>0</v>
      </c>
      <c r="T41" s="315">
        <v>0</v>
      </c>
      <c r="U41" s="315">
        <v>0</v>
      </c>
      <c r="V41" s="315">
        <v>0</v>
      </c>
      <c r="W41" s="315">
        <v>0</v>
      </c>
      <c r="X41" s="315">
        <v>0</v>
      </c>
      <c r="Y41" s="315">
        <v>0</v>
      </c>
      <c r="Z41" s="315">
        <v>0</v>
      </c>
      <c r="AA41" s="316">
        <v>0</v>
      </c>
    </row>
    <row r="42" spans="2:27" ht="28" x14ac:dyDescent="0.3">
      <c r="B42" s="240" t="s">
        <v>1590</v>
      </c>
      <c r="C42" s="51" t="s">
        <v>1591</v>
      </c>
      <c r="D42" s="59" t="s">
        <v>1322</v>
      </c>
      <c r="E42" s="304" t="s">
        <v>1514</v>
      </c>
      <c r="F42" s="292">
        <v>3</v>
      </c>
      <c r="G42" s="419"/>
      <c r="H42" s="419"/>
      <c r="I42" s="419"/>
      <c r="J42" s="419"/>
      <c r="K42" s="419"/>
      <c r="L42" s="419"/>
      <c r="M42" s="1181">
        <v>0</v>
      </c>
      <c r="N42" s="1181">
        <v>0</v>
      </c>
      <c r="O42" s="1181">
        <v>0</v>
      </c>
      <c r="P42" s="1181">
        <v>0</v>
      </c>
      <c r="Q42" s="1181">
        <v>0</v>
      </c>
      <c r="R42" s="1181">
        <v>0</v>
      </c>
      <c r="S42" s="1181">
        <v>0</v>
      </c>
      <c r="T42" s="1181">
        <v>0</v>
      </c>
      <c r="U42" s="1181">
        <v>0</v>
      </c>
      <c r="V42" s="1181">
        <v>0</v>
      </c>
      <c r="W42" s="1181">
        <v>0</v>
      </c>
      <c r="X42" s="1181">
        <v>0</v>
      </c>
      <c r="Y42" s="1181">
        <v>0</v>
      </c>
      <c r="Z42" s="1181">
        <v>0</v>
      </c>
      <c r="AA42" s="1181">
        <v>0</v>
      </c>
    </row>
    <row r="43" spans="2:27" ht="28" x14ac:dyDescent="0.3">
      <c r="B43" s="240" t="s">
        <v>1592</v>
      </c>
      <c r="C43" s="51" t="s">
        <v>1593</v>
      </c>
      <c r="D43" s="59" t="s">
        <v>1322</v>
      </c>
      <c r="E43" s="304" t="s">
        <v>1514</v>
      </c>
      <c r="F43" s="292">
        <v>3</v>
      </c>
      <c r="G43" s="419"/>
      <c r="H43" s="419"/>
      <c r="I43" s="419"/>
      <c r="J43" s="419"/>
      <c r="K43" s="419"/>
      <c r="L43" s="419"/>
      <c r="M43" s="1181">
        <v>0</v>
      </c>
      <c r="N43" s="1181">
        <v>0</v>
      </c>
      <c r="O43" s="1181">
        <v>0</v>
      </c>
      <c r="P43" s="1181">
        <v>0</v>
      </c>
      <c r="Q43" s="1181">
        <v>0</v>
      </c>
      <c r="R43" s="1181">
        <v>0</v>
      </c>
      <c r="S43" s="1181">
        <v>0</v>
      </c>
      <c r="T43" s="1181">
        <v>0</v>
      </c>
      <c r="U43" s="1181">
        <v>0</v>
      </c>
      <c r="V43" s="1181">
        <v>0</v>
      </c>
      <c r="W43" s="1181">
        <v>0</v>
      </c>
      <c r="X43" s="1181">
        <v>0</v>
      </c>
      <c r="Y43" s="1181">
        <v>0</v>
      </c>
      <c r="Z43" s="1181">
        <v>0</v>
      </c>
      <c r="AA43" s="1181">
        <v>0</v>
      </c>
    </row>
    <row r="44" spans="2:27" x14ac:dyDescent="0.3">
      <c r="B44" s="240" t="s">
        <v>1594</v>
      </c>
      <c r="C44" s="51" t="s">
        <v>1595</v>
      </c>
      <c r="D44" s="59" t="s">
        <v>1322</v>
      </c>
      <c r="E44" s="304" t="s">
        <v>1514</v>
      </c>
      <c r="F44" s="292">
        <v>3</v>
      </c>
      <c r="G44" s="419"/>
      <c r="H44" s="419"/>
      <c r="I44" s="419"/>
      <c r="J44" s="419"/>
      <c r="K44" s="419"/>
      <c r="L44" s="419"/>
      <c r="M44" s="315">
        <v>0.502</v>
      </c>
      <c r="N44" s="315">
        <v>0.502</v>
      </c>
      <c r="O44" s="315">
        <v>0.502</v>
      </c>
      <c r="P44" s="315">
        <v>0.502</v>
      </c>
      <c r="Q44" s="315">
        <v>0.502</v>
      </c>
      <c r="R44" s="315">
        <v>2.5099999999999998</v>
      </c>
      <c r="S44" s="1181">
        <v>0</v>
      </c>
      <c r="T44" s="1181">
        <v>0</v>
      </c>
      <c r="U44" s="1181">
        <v>0</v>
      </c>
      <c r="V44" s="1181">
        <v>0</v>
      </c>
      <c r="W44" s="1181">
        <v>0</v>
      </c>
      <c r="X44" s="1181">
        <v>0</v>
      </c>
      <c r="Y44" s="1181">
        <v>0</v>
      </c>
      <c r="Z44" s="1181">
        <v>0</v>
      </c>
      <c r="AA44" s="1181">
        <v>0</v>
      </c>
    </row>
    <row r="45" spans="2:27" x14ac:dyDescent="0.3">
      <c r="B45" s="240" t="s">
        <v>1596</v>
      </c>
      <c r="C45" s="51" t="s">
        <v>1589</v>
      </c>
      <c r="D45" s="59" t="s">
        <v>1317</v>
      </c>
      <c r="E45" s="304" t="s">
        <v>1514</v>
      </c>
      <c r="F45" s="292">
        <v>3</v>
      </c>
      <c r="G45" s="421"/>
      <c r="H45" s="422"/>
      <c r="I45" s="422"/>
      <c r="J45" s="422"/>
      <c r="K45" s="422"/>
      <c r="L45" s="422"/>
      <c r="M45" s="315">
        <v>0</v>
      </c>
      <c r="N45" s="315">
        <v>0</v>
      </c>
      <c r="O45" s="315">
        <v>0</v>
      </c>
      <c r="P45" s="315">
        <v>0</v>
      </c>
      <c r="Q45" s="315">
        <v>0</v>
      </c>
      <c r="R45" s="315">
        <v>0</v>
      </c>
      <c r="S45" s="315">
        <v>0</v>
      </c>
      <c r="T45" s="315">
        <v>0</v>
      </c>
      <c r="U45" s="315">
        <v>0</v>
      </c>
      <c r="V45" s="315">
        <v>0</v>
      </c>
      <c r="W45" s="315">
        <v>0</v>
      </c>
      <c r="X45" s="315">
        <v>0</v>
      </c>
      <c r="Y45" s="315">
        <v>0</v>
      </c>
      <c r="Z45" s="315">
        <v>0</v>
      </c>
      <c r="AA45" s="315">
        <v>0</v>
      </c>
    </row>
    <row r="46" spans="2:27" ht="28" x14ac:dyDescent="0.3">
      <c r="B46" s="240" t="s">
        <v>1597</v>
      </c>
      <c r="C46" s="51" t="s">
        <v>1591</v>
      </c>
      <c r="D46" s="59" t="s">
        <v>1317</v>
      </c>
      <c r="E46" s="304" t="s">
        <v>1514</v>
      </c>
      <c r="F46" s="292">
        <v>3</v>
      </c>
      <c r="G46" s="419"/>
      <c r="H46" s="419"/>
      <c r="I46" s="419"/>
      <c r="J46" s="419"/>
      <c r="K46" s="419"/>
      <c r="L46" s="419"/>
      <c r="M46" s="1181">
        <v>0</v>
      </c>
      <c r="N46" s="1181">
        <v>0</v>
      </c>
      <c r="O46" s="1181">
        <v>0</v>
      </c>
      <c r="P46" s="1181">
        <v>0</v>
      </c>
      <c r="Q46" s="1181">
        <v>0</v>
      </c>
      <c r="R46" s="1181">
        <v>0</v>
      </c>
      <c r="S46" s="1181">
        <v>0</v>
      </c>
      <c r="T46" s="1181">
        <v>0</v>
      </c>
      <c r="U46" s="1181">
        <v>0</v>
      </c>
      <c r="V46" s="1181">
        <v>0</v>
      </c>
      <c r="W46" s="1181">
        <v>0</v>
      </c>
      <c r="X46" s="1181">
        <v>0</v>
      </c>
      <c r="Y46" s="1181">
        <v>0</v>
      </c>
      <c r="Z46" s="1181">
        <v>0</v>
      </c>
      <c r="AA46" s="1181">
        <v>0</v>
      </c>
    </row>
    <row r="47" spans="2:27" ht="28" x14ac:dyDescent="0.3">
      <c r="B47" s="240" t="s">
        <v>1598</v>
      </c>
      <c r="C47" s="51" t="s">
        <v>1599</v>
      </c>
      <c r="D47" s="59" t="s">
        <v>1317</v>
      </c>
      <c r="E47" s="304" t="s">
        <v>1514</v>
      </c>
      <c r="F47" s="292">
        <v>3</v>
      </c>
      <c r="G47" s="419"/>
      <c r="H47" s="419"/>
      <c r="I47" s="419"/>
      <c r="J47" s="419"/>
      <c r="K47" s="419"/>
      <c r="L47" s="419"/>
      <c r="M47" s="1181">
        <v>0</v>
      </c>
      <c r="N47" s="1181">
        <v>0</v>
      </c>
      <c r="O47" s="1181">
        <v>0</v>
      </c>
      <c r="P47" s="1181">
        <v>0</v>
      </c>
      <c r="Q47" s="1181">
        <v>0</v>
      </c>
      <c r="R47" s="1181">
        <v>0</v>
      </c>
      <c r="S47" s="1181">
        <v>0</v>
      </c>
      <c r="T47" s="1181">
        <v>0</v>
      </c>
      <c r="U47" s="1181">
        <v>0</v>
      </c>
      <c r="V47" s="1181">
        <v>0</v>
      </c>
      <c r="W47" s="1181">
        <v>0</v>
      </c>
      <c r="X47" s="1181">
        <v>0</v>
      </c>
      <c r="Y47" s="1181">
        <v>0</v>
      </c>
      <c r="Z47" s="1181">
        <v>0</v>
      </c>
      <c r="AA47" s="1181">
        <v>0</v>
      </c>
    </row>
    <row r="48" spans="2:27" x14ac:dyDescent="0.3">
      <c r="B48" s="240" t="s">
        <v>1600</v>
      </c>
      <c r="C48" s="51" t="s">
        <v>1595</v>
      </c>
      <c r="D48" s="59" t="s">
        <v>1317</v>
      </c>
      <c r="E48" s="304" t="s">
        <v>1514</v>
      </c>
      <c r="F48" s="292">
        <v>3</v>
      </c>
      <c r="G48" s="419"/>
      <c r="H48" s="419"/>
      <c r="I48" s="419"/>
      <c r="J48" s="419"/>
      <c r="K48" s="419"/>
      <c r="L48" s="419"/>
      <c r="M48" s="315">
        <v>0</v>
      </c>
      <c r="N48" s="315">
        <v>0</v>
      </c>
      <c r="O48" s="315">
        <v>0</v>
      </c>
      <c r="P48" s="315">
        <v>0</v>
      </c>
      <c r="Q48" s="315">
        <v>0</v>
      </c>
      <c r="R48" s="315">
        <v>0</v>
      </c>
      <c r="S48" s="1181">
        <v>0</v>
      </c>
      <c r="T48" s="1181">
        <v>0</v>
      </c>
      <c r="U48" s="1181">
        <v>0</v>
      </c>
      <c r="V48" s="1181">
        <v>0</v>
      </c>
      <c r="W48" s="1181">
        <v>0</v>
      </c>
      <c r="X48" s="1181">
        <v>0</v>
      </c>
      <c r="Y48" s="1181">
        <v>0</v>
      </c>
      <c r="Z48" s="1181">
        <v>0</v>
      </c>
      <c r="AA48" s="1181">
        <v>0</v>
      </c>
    </row>
    <row r="49" spans="2:27" x14ac:dyDescent="0.3">
      <c r="B49" s="240" t="s">
        <v>1601</v>
      </c>
      <c r="C49" s="51" t="s">
        <v>1589</v>
      </c>
      <c r="D49" s="59" t="s">
        <v>1513</v>
      </c>
      <c r="E49" s="304" t="s">
        <v>1514</v>
      </c>
      <c r="F49" s="292">
        <v>3</v>
      </c>
      <c r="G49" s="313">
        <f t="shared" ref="G49:K49" si="16">SUM(G41,G45)</f>
        <v>0</v>
      </c>
      <c r="H49" s="313">
        <f t="shared" si="16"/>
        <v>0</v>
      </c>
      <c r="I49" s="313">
        <f t="shared" si="16"/>
        <v>0</v>
      </c>
      <c r="J49" s="313">
        <f t="shared" si="16"/>
        <v>0</v>
      </c>
      <c r="K49" s="313">
        <f t="shared" si="16"/>
        <v>0</v>
      </c>
      <c r="L49" s="313">
        <f>SUM(L41,L45)</f>
        <v>0</v>
      </c>
      <c r="M49" s="313">
        <f t="shared" ref="M49:AA49" si="17">SUM(M41,M45)</f>
        <v>0.502</v>
      </c>
      <c r="N49" s="313">
        <f t="shared" si="17"/>
        <v>0.502</v>
      </c>
      <c r="O49" s="313">
        <f t="shared" si="17"/>
        <v>0.502</v>
      </c>
      <c r="P49" s="313">
        <f t="shared" si="17"/>
        <v>0.502</v>
      </c>
      <c r="Q49" s="313">
        <f t="shared" si="17"/>
        <v>0.502</v>
      </c>
      <c r="R49" s="313">
        <f t="shared" si="17"/>
        <v>2.5099999999999998</v>
      </c>
      <c r="S49" s="313">
        <f t="shared" si="17"/>
        <v>0</v>
      </c>
      <c r="T49" s="313">
        <f t="shared" si="17"/>
        <v>0</v>
      </c>
      <c r="U49" s="313">
        <f t="shared" si="17"/>
        <v>0</v>
      </c>
      <c r="V49" s="313">
        <f t="shared" si="17"/>
        <v>0</v>
      </c>
      <c r="W49" s="313">
        <f t="shared" si="17"/>
        <v>0</v>
      </c>
      <c r="X49" s="313">
        <f t="shared" si="17"/>
        <v>0</v>
      </c>
      <c r="Y49" s="313">
        <f t="shared" si="17"/>
        <v>0</v>
      </c>
      <c r="Z49" s="313">
        <f t="shared" si="17"/>
        <v>0</v>
      </c>
      <c r="AA49" s="313">
        <f t="shared" si="17"/>
        <v>0</v>
      </c>
    </row>
    <row r="50" spans="2:27" x14ac:dyDescent="0.3">
      <c r="B50" s="240" t="s">
        <v>1602</v>
      </c>
      <c r="C50" s="51" t="s">
        <v>1603</v>
      </c>
      <c r="D50" s="59" t="s">
        <v>1322</v>
      </c>
      <c r="E50" s="304" t="s">
        <v>1514</v>
      </c>
      <c r="F50" s="292">
        <v>3</v>
      </c>
      <c r="G50" s="421"/>
      <c r="H50" s="422"/>
      <c r="I50" s="422"/>
      <c r="J50" s="422"/>
      <c r="K50" s="422"/>
      <c r="L50" s="422"/>
      <c r="M50" s="315">
        <v>0.30199999999999999</v>
      </c>
      <c r="N50" s="315">
        <v>0.30199999999999999</v>
      </c>
      <c r="O50" s="315">
        <v>0.30199999999999999</v>
      </c>
      <c r="P50" s="315">
        <v>0.30199999999999999</v>
      </c>
      <c r="Q50" s="315">
        <v>0.30199999999999999</v>
      </c>
      <c r="R50" s="315">
        <v>0</v>
      </c>
      <c r="S50" s="315">
        <v>0</v>
      </c>
      <c r="T50" s="315">
        <v>0</v>
      </c>
      <c r="U50" s="315">
        <v>0</v>
      </c>
      <c r="V50" s="315">
        <v>0</v>
      </c>
      <c r="W50" s="315">
        <v>0</v>
      </c>
      <c r="X50" s="315">
        <v>0</v>
      </c>
      <c r="Y50" s="315">
        <v>0</v>
      </c>
      <c r="Z50" s="315">
        <v>0</v>
      </c>
      <c r="AA50" s="315">
        <v>0</v>
      </c>
    </row>
    <row r="51" spans="2:27" x14ac:dyDescent="0.3">
      <c r="B51" s="240" t="s">
        <v>1604</v>
      </c>
      <c r="C51" s="51" t="s">
        <v>1605</v>
      </c>
      <c r="D51" s="59" t="s">
        <v>1322</v>
      </c>
      <c r="E51" s="304" t="s">
        <v>1514</v>
      </c>
      <c r="F51" s="292">
        <v>3</v>
      </c>
      <c r="G51" s="419"/>
      <c r="H51" s="419"/>
      <c r="I51" s="419"/>
      <c r="J51" s="419"/>
      <c r="K51" s="419"/>
      <c r="L51" s="419"/>
      <c r="M51" s="1181">
        <v>0</v>
      </c>
      <c r="N51" s="1181">
        <v>0</v>
      </c>
      <c r="O51" s="1181">
        <v>0</v>
      </c>
      <c r="P51" s="1181">
        <v>0</v>
      </c>
      <c r="Q51" s="1181">
        <v>0</v>
      </c>
      <c r="R51" s="1181">
        <v>0</v>
      </c>
      <c r="S51" s="315">
        <v>0</v>
      </c>
      <c r="T51" s="315">
        <v>0</v>
      </c>
      <c r="U51" s="315">
        <v>0</v>
      </c>
      <c r="V51" s="315">
        <v>0</v>
      </c>
      <c r="W51" s="315">
        <v>0</v>
      </c>
      <c r="X51" s="315">
        <v>0</v>
      </c>
      <c r="Y51" s="315">
        <v>0</v>
      </c>
      <c r="Z51" s="315">
        <v>0</v>
      </c>
      <c r="AA51" s="315">
        <v>0</v>
      </c>
    </row>
    <row r="52" spans="2:27" x14ac:dyDescent="0.3">
      <c r="B52" s="240" t="s">
        <v>1606</v>
      </c>
      <c r="C52" s="51" t="s">
        <v>1607</v>
      </c>
      <c r="D52" s="59" t="s">
        <v>1322</v>
      </c>
      <c r="E52" s="304" t="s">
        <v>1514</v>
      </c>
      <c r="F52" s="292">
        <v>3</v>
      </c>
      <c r="G52" s="419"/>
      <c r="H52" s="419"/>
      <c r="I52" s="419"/>
      <c r="J52" s="419"/>
      <c r="K52" s="419"/>
      <c r="L52" s="419"/>
      <c r="M52" s="1181">
        <v>0</v>
      </c>
      <c r="N52" s="1181">
        <v>0</v>
      </c>
      <c r="O52" s="1181">
        <v>0</v>
      </c>
      <c r="P52" s="1181">
        <v>0</v>
      </c>
      <c r="Q52" s="1181">
        <v>0</v>
      </c>
      <c r="R52" s="1181">
        <v>0</v>
      </c>
      <c r="S52" s="315">
        <v>0</v>
      </c>
      <c r="T52" s="315">
        <v>0</v>
      </c>
      <c r="U52" s="315">
        <v>0</v>
      </c>
      <c r="V52" s="315">
        <v>0</v>
      </c>
      <c r="W52" s="315">
        <v>0</v>
      </c>
      <c r="X52" s="315">
        <v>0</v>
      </c>
      <c r="Y52" s="315">
        <v>0</v>
      </c>
      <c r="Z52" s="315">
        <v>0</v>
      </c>
      <c r="AA52" s="315">
        <v>0</v>
      </c>
    </row>
    <row r="53" spans="2:27" x14ac:dyDescent="0.3">
      <c r="B53" s="240" t="s">
        <v>1608</v>
      </c>
      <c r="C53" s="51" t="s">
        <v>1609</v>
      </c>
      <c r="D53" s="59" t="s">
        <v>1322</v>
      </c>
      <c r="E53" s="304" t="s">
        <v>1514</v>
      </c>
      <c r="F53" s="292">
        <v>3</v>
      </c>
      <c r="G53" s="419"/>
      <c r="H53" s="419"/>
      <c r="I53" s="419"/>
      <c r="J53" s="419"/>
      <c r="K53" s="419"/>
      <c r="L53" s="419"/>
      <c r="M53" s="315">
        <v>0.30199999999999999</v>
      </c>
      <c r="N53" s="315">
        <v>0.30199999999999999</v>
      </c>
      <c r="O53" s="315">
        <v>0.30199999999999999</v>
      </c>
      <c r="P53" s="315">
        <v>0.30199999999999999</v>
      </c>
      <c r="Q53" s="315">
        <v>0.30199999999999999</v>
      </c>
      <c r="R53" s="315">
        <v>0</v>
      </c>
      <c r="S53" s="315">
        <v>0</v>
      </c>
      <c r="T53" s="315">
        <v>0</v>
      </c>
      <c r="U53" s="315">
        <v>0</v>
      </c>
      <c r="V53" s="315">
        <v>0</v>
      </c>
      <c r="W53" s="315">
        <v>0</v>
      </c>
      <c r="X53" s="315">
        <v>0</v>
      </c>
      <c r="Y53" s="315">
        <v>0</v>
      </c>
      <c r="Z53" s="315">
        <v>0</v>
      </c>
      <c r="AA53" s="315">
        <v>0</v>
      </c>
    </row>
    <row r="54" spans="2:27" x14ac:dyDescent="0.3">
      <c r="B54" s="240" t="s">
        <v>1610</v>
      </c>
      <c r="C54" s="51" t="s">
        <v>1603</v>
      </c>
      <c r="D54" s="59" t="s">
        <v>1317</v>
      </c>
      <c r="E54" s="304" t="s">
        <v>1514</v>
      </c>
      <c r="F54" s="292">
        <v>3</v>
      </c>
      <c r="G54" s="421"/>
      <c r="H54" s="422"/>
      <c r="I54" s="422"/>
      <c r="J54" s="422"/>
      <c r="K54" s="422"/>
      <c r="L54" s="422"/>
      <c r="M54" s="1181">
        <v>0</v>
      </c>
      <c r="N54" s="1181">
        <v>0</v>
      </c>
      <c r="O54" s="1181">
        <v>0</v>
      </c>
      <c r="P54" s="1181">
        <v>0</v>
      </c>
      <c r="Q54" s="1181">
        <v>0</v>
      </c>
      <c r="R54" s="1181">
        <v>0</v>
      </c>
      <c r="S54" s="315">
        <v>0</v>
      </c>
      <c r="T54" s="315">
        <v>0</v>
      </c>
      <c r="U54" s="315">
        <v>0</v>
      </c>
      <c r="V54" s="315">
        <v>0</v>
      </c>
      <c r="W54" s="315">
        <v>0</v>
      </c>
      <c r="X54" s="315">
        <v>0</v>
      </c>
      <c r="Y54" s="315">
        <v>0</v>
      </c>
      <c r="Z54" s="315">
        <v>0</v>
      </c>
      <c r="AA54" s="315">
        <v>0</v>
      </c>
    </row>
    <row r="55" spans="2:27" x14ac:dyDescent="0.3">
      <c r="B55" s="240" t="s">
        <v>1611</v>
      </c>
      <c r="C55" s="51" t="s">
        <v>1605</v>
      </c>
      <c r="D55" s="59" t="s">
        <v>1317</v>
      </c>
      <c r="E55" s="304" t="s">
        <v>1514</v>
      </c>
      <c r="F55" s="292">
        <v>3</v>
      </c>
      <c r="G55" s="419"/>
      <c r="H55" s="419"/>
      <c r="I55" s="419"/>
      <c r="J55" s="419"/>
      <c r="K55" s="419"/>
      <c r="L55" s="419"/>
      <c r="M55" s="1181">
        <v>0</v>
      </c>
      <c r="N55" s="1181">
        <v>0</v>
      </c>
      <c r="O55" s="1181">
        <v>0</v>
      </c>
      <c r="P55" s="1181">
        <v>0</v>
      </c>
      <c r="Q55" s="1181">
        <v>0</v>
      </c>
      <c r="R55" s="1181">
        <v>0</v>
      </c>
      <c r="S55" s="315">
        <v>0</v>
      </c>
      <c r="T55" s="315">
        <v>0</v>
      </c>
      <c r="U55" s="315">
        <v>0</v>
      </c>
      <c r="V55" s="315">
        <v>0</v>
      </c>
      <c r="W55" s="315">
        <v>0</v>
      </c>
      <c r="X55" s="315">
        <v>0</v>
      </c>
      <c r="Y55" s="315">
        <v>0</v>
      </c>
      <c r="Z55" s="315">
        <v>0</v>
      </c>
      <c r="AA55" s="315">
        <v>0</v>
      </c>
    </row>
    <row r="56" spans="2:27" x14ac:dyDescent="0.3">
      <c r="B56" s="240" t="s">
        <v>1612</v>
      </c>
      <c r="C56" s="51" t="s">
        <v>1607</v>
      </c>
      <c r="D56" s="59" t="s">
        <v>1317</v>
      </c>
      <c r="E56" s="304" t="s">
        <v>1514</v>
      </c>
      <c r="F56" s="292">
        <v>3</v>
      </c>
      <c r="G56" s="419"/>
      <c r="H56" s="419"/>
      <c r="I56" s="419"/>
      <c r="J56" s="419"/>
      <c r="K56" s="419"/>
      <c r="L56" s="419"/>
      <c r="M56" s="1181">
        <v>0</v>
      </c>
      <c r="N56" s="1181">
        <v>0</v>
      </c>
      <c r="O56" s="1181">
        <v>0</v>
      </c>
      <c r="P56" s="1181">
        <v>0</v>
      </c>
      <c r="Q56" s="1181">
        <v>0</v>
      </c>
      <c r="R56" s="1181">
        <v>0</v>
      </c>
      <c r="S56" s="315">
        <v>0</v>
      </c>
      <c r="T56" s="315">
        <v>0</v>
      </c>
      <c r="U56" s="315">
        <v>0</v>
      </c>
      <c r="V56" s="315">
        <v>0</v>
      </c>
      <c r="W56" s="315">
        <v>0</v>
      </c>
      <c r="X56" s="315">
        <v>0</v>
      </c>
      <c r="Y56" s="315">
        <v>0</v>
      </c>
      <c r="Z56" s="315">
        <v>0</v>
      </c>
      <c r="AA56" s="315">
        <v>0</v>
      </c>
    </row>
    <row r="57" spans="2:27" x14ac:dyDescent="0.3">
      <c r="B57" s="240" t="s">
        <v>1613</v>
      </c>
      <c r="C57" s="51" t="s">
        <v>1609</v>
      </c>
      <c r="D57" s="59" t="s">
        <v>1317</v>
      </c>
      <c r="E57" s="304" t="s">
        <v>1514</v>
      </c>
      <c r="F57" s="292">
        <v>3</v>
      </c>
      <c r="G57" s="419"/>
      <c r="H57" s="419"/>
      <c r="I57" s="419"/>
      <c r="J57" s="419"/>
      <c r="K57" s="419"/>
      <c r="L57" s="419"/>
      <c r="M57" s="1181">
        <v>0</v>
      </c>
      <c r="N57" s="1181">
        <v>0</v>
      </c>
      <c r="O57" s="1181">
        <v>0</v>
      </c>
      <c r="P57" s="1181">
        <v>0</v>
      </c>
      <c r="Q57" s="1181">
        <v>0</v>
      </c>
      <c r="R57" s="1181">
        <v>0</v>
      </c>
      <c r="S57" s="315">
        <v>0</v>
      </c>
      <c r="T57" s="315">
        <v>0</v>
      </c>
      <c r="U57" s="315">
        <v>0</v>
      </c>
      <c r="V57" s="315">
        <v>0</v>
      </c>
      <c r="W57" s="315">
        <v>0</v>
      </c>
      <c r="X57" s="315">
        <v>0</v>
      </c>
      <c r="Y57" s="315">
        <v>0</v>
      </c>
      <c r="Z57" s="315">
        <v>0</v>
      </c>
      <c r="AA57" s="315">
        <v>0</v>
      </c>
    </row>
    <row r="58" spans="2:27" x14ac:dyDescent="0.3">
      <c r="B58" s="240" t="s">
        <v>1614</v>
      </c>
      <c r="C58" s="51" t="s">
        <v>1605</v>
      </c>
      <c r="D58" s="59" t="s">
        <v>1513</v>
      </c>
      <c r="E58" s="304" t="s">
        <v>1514</v>
      </c>
      <c r="F58" s="292">
        <v>3</v>
      </c>
      <c r="G58" s="313">
        <f t="shared" ref="G58:K58" si="18">SUM(G50,G54)</f>
        <v>0</v>
      </c>
      <c r="H58" s="313">
        <f t="shared" si="18"/>
        <v>0</v>
      </c>
      <c r="I58" s="313">
        <f t="shared" si="18"/>
        <v>0</v>
      </c>
      <c r="J58" s="313">
        <f t="shared" si="18"/>
        <v>0</v>
      </c>
      <c r="K58" s="313">
        <f t="shared" si="18"/>
        <v>0</v>
      </c>
      <c r="L58" s="313">
        <f>SUM(L50,L54)</f>
        <v>0</v>
      </c>
      <c r="M58" s="313">
        <f t="shared" ref="M58:AA58" si="19">SUM(M50,M54)</f>
        <v>0.30199999999999999</v>
      </c>
      <c r="N58" s="313">
        <f t="shared" si="19"/>
        <v>0.30199999999999999</v>
      </c>
      <c r="O58" s="313">
        <f t="shared" si="19"/>
        <v>0.30199999999999999</v>
      </c>
      <c r="P58" s="313">
        <f t="shared" si="19"/>
        <v>0.30199999999999999</v>
      </c>
      <c r="Q58" s="313">
        <f t="shared" si="19"/>
        <v>0.30199999999999999</v>
      </c>
      <c r="R58" s="313">
        <f t="shared" si="19"/>
        <v>0</v>
      </c>
      <c r="S58" s="313">
        <f t="shared" si="19"/>
        <v>0</v>
      </c>
      <c r="T58" s="313">
        <f t="shared" si="19"/>
        <v>0</v>
      </c>
      <c r="U58" s="313">
        <f t="shared" si="19"/>
        <v>0</v>
      </c>
      <c r="V58" s="313">
        <f t="shared" si="19"/>
        <v>0</v>
      </c>
      <c r="W58" s="313">
        <f t="shared" si="19"/>
        <v>0</v>
      </c>
      <c r="X58" s="313">
        <f t="shared" si="19"/>
        <v>0</v>
      </c>
      <c r="Y58" s="313">
        <f t="shared" si="19"/>
        <v>0</v>
      </c>
      <c r="Z58" s="313">
        <f t="shared" si="19"/>
        <v>0</v>
      </c>
      <c r="AA58" s="313">
        <f t="shared" si="19"/>
        <v>0</v>
      </c>
    </row>
    <row r="59" spans="2:27" x14ac:dyDescent="0.3">
      <c r="B59" s="240" t="s">
        <v>1615</v>
      </c>
      <c r="C59" s="51" t="s">
        <v>1616</v>
      </c>
      <c r="D59" s="59" t="s">
        <v>1322</v>
      </c>
      <c r="E59" s="304" t="s">
        <v>1514</v>
      </c>
      <c r="F59" s="292">
        <v>3</v>
      </c>
      <c r="G59" s="419"/>
      <c r="H59" s="419"/>
      <c r="I59" s="419"/>
      <c r="J59" s="419"/>
      <c r="K59" s="419"/>
      <c r="L59" s="419"/>
      <c r="M59" s="1181">
        <v>0</v>
      </c>
      <c r="N59" s="1181">
        <v>0</v>
      </c>
      <c r="O59" s="1181">
        <v>0</v>
      </c>
      <c r="P59" s="1181">
        <v>0</v>
      </c>
      <c r="Q59" s="1181">
        <v>0</v>
      </c>
      <c r="R59" s="1181">
        <v>0</v>
      </c>
      <c r="S59" s="1181">
        <v>0</v>
      </c>
      <c r="T59" s="1181">
        <v>0</v>
      </c>
      <c r="U59" s="1181">
        <v>0</v>
      </c>
      <c r="V59" s="1181">
        <v>0</v>
      </c>
      <c r="W59" s="1181">
        <v>0</v>
      </c>
      <c r="X59" s="1181">
        <v>0</v>
      </c>
      <c r="Y59" s="1181">
        <v>0</v>
      </c>
      <c r="Z59" s="1181">
        <v>0</v>
      </c>
      <c r="AA59" s="1181">
        <v>0</v>
      </c>
    </row>
    <row r="60" spans="2:27" x14ac:dyDescent="0.3">
      <c r="B60" s="240" t="s">
        <v>1617</v>
      </c>
      <c r="C60" s="51" t="s">
        <v>1618</v>
      </c>
      <c r="D60" s="59" t="s">
        <v>1322</v>
      </c>
      <c r="E60" s="304" t="s">
        <v>1514</v>
      </c>
      <c r="F60" s="292">
        <v>3</v>
      </c>
      <c r="G60" s="419"/>
      <c r="H60" s="419"/>
      <c r="I60" s="419"/>
      <c r="J60" s="419"/>
      <c r="K60" s="419"/>
      <c r="L60" s="419"/>
      <c r="M60" s="1181">
        <v>0</v>
      </c>
      <c r="N60" s="1181">
        <v>0</v>
      </c>
      <c r="O60" s="1181">
        <v>0</v>
      </c>
      <c r="P60" s="1181">
        <v>0</v>
      </c>
      <c r="Q60" s="1181">
        <v>0</v>
      </c>
      <c r="R60" s="1181">
        <v>0</v>
      </c>
      <c r="S60" s="1181">
        <v>0</v>
      </c>
      <c r="T60" s="1181">
        <v>0</v>
      </c>
      <c r="U60" s="1181">
        <v>0</v>
      </c>
      <c r="V60" s="1181">
        <v>0</v>
      </c>
      <c r="W60" s="1181">
        <v>0</v>
      </c>
      <c r="X60" s="1181">
        <v>0</v>
      </c>
      <c r="Y60" s="1181">
        <v>0</v>
      </c>
      <c r="Z60" s="1181">
        <v>0</v>
      </c>
      <c r="AA60" s="1181">
        <v>0</v>
      </c>
    </row>
    <row r="61" spans="2:27" x14ac:dyDescent="0.3">
      <c r="B61" s="240" t="s">
        <v>1619</v>
      </c>
      <c r="C61" s="51" t="s">
        <v>1620</v>
      </c>
      <c r="D61" s="59" t="s">
        <v>1322</v>
      </c>
      <c r="E61" s="304" t="s">
        <v>1514</v>
      </c>
      <c r="F61" s="292">
        <v>3</v>
      </c>
      <c r="G61" s="419"/>
      <c r="H61" s="419"/>
      <c r="I61" s="419"/>
      <c r="J61" s="419"/>
      <c r="K61" s="419"/>
      <c r="L61" s="419"/>
      <c r="M61" s="1181">
        <v>0.186</v>
      </c>
      <c r="N61" s="1181">
        <v>0.186</v>
      </c>
      <c r="O61" s="1181">
        <v>0.186</v>
      </c>
      <c r="P61" s="1181">
        <v>0.186</v>
      </c>
      <c r="Q61" s="1181">
        <v>0.186</v>
      </c>
      <c r="R61" s="1181">
        <v>0</v>
      </c>
      <c r="S61" s="1181">
        <v>0</v>
      </c>
      <c r="T61" s="1181">
        <v>0</v>
      </c>
      <c r="U61" s="1181">
        <v>0</v>
      </c>
      <c r="V61" s="1181">
        <v>0</v>
      </c>
      <c r="W61" s="1181">
        <v>0</v>
      </c>
      <c r="X61" s="1181">
        <v>0</v>
      </c>
      <c r="Y61" s="1181">
        <v>0</v>
      </c>
      <c r="Z61" s="1181">
        <v>0</v>
      </c>
      <c r="AA61" s="1181">
        <v>0</v>
      </c>
    </row>
    <row r="62" spans="2:27" x14ac:dyDescent="0.3">
      <c r="B62" s="240" t="s">
        <v>1621</v>
      </c>
      <c r="C62" s="51" t="s">
        <v>1616</v>
      </c>
      <c r="D62" s="59" t="s">
        <v>1317</v>
      </c>
      <c r="E62" s="304" t="s">
        <v>1514</v>
      </c>
      <c r="F62" s="292">
        <v>3</v>
      </c>
      <c r="G62" s="419"/>
      <c r="H62" s="419"/>
      <c r="I62" s="419"/>
      <c r="J62" s="419"/>
      <c r="K62" s="419"/>
      <c r="L62" s="419"/>
      <c r="M62" s="1181">
        <v>0</v>
      </c>
      <c r="N62" s="1181">
        <v>0</v>
      </c>
      <c r="O62" s="1181">
        <v>0</v>
      </c>
      <c r="P62" s="1181">
        <v>0</v>
      </c>
      <c r="Q62" s="1181">
        <v>0</v>
      </c>
      <c r="R62" s="1181">
        <v>0</v>
      </c>
      <c r="S62" s="1181">
        <v>0</v>
      </c>
      <c r="T62" s="1181">
        <v>0</v>
      </c>
      <c r="U62" s="1181">
        <v>0</v>
      </c>
      <c r="V62" s="1181">
        <v>0</v>
      </c>
      <c r="W62" s="1181">
        <v>0</v>
      </c>
      <c r="X62" s="1181">
        <v>0</v>
      </c>
      <c r="Y62" s="1181">
        <v>0</v>
      </c>
      <c r="Z62" s="1181">
        <v>0</v>
      </c>
      <c r="AA62" s="1181">
        <v>0</v>
      </c>
    </row>
    <row r="63" spans="2:27" x14ac:dyDescent="0.3">
      <c r="B63" s="240" t="s">
        <v>1622</v>
      </c>
      <c r="C63" s="51" t="s">
        <v>1618</v>
      </c>
      <c r="D63" s="59" t="s">
        <v>1317</v>
      </c>
      <c r="E63" s="304" t="s">
        <v>1514</v>
      </c>
      <c r="F63" s="292">
        <v>3</v>
      </c>
      <c r="G63" s="419"/>
      <c r="H63" s="419"/>
      <c r="I63" s="419"/>
      <c r="J63" s="419"/>
      <c r="K63" s="419"/>
      <c r="L63" s="419"/>
      <c r="M63" s="1181">
        <v>0</v>
      </c>
      <c r="N63" s="1181">
        <v>0</v>
      </c>
      <c r="O63" s="1181">
        <v>0</v>
      </c>
      <c r="P63" s="1181">
        <v>0</v>
      </c>
      <c r="Q63" s="1181">
        <v>0</v>
      </c>
      <c r="R63" s="1181">
        <v>0</v>
      </c>
      <c r="S63" s="1181">
        <v>0</v>
      </c>
      <c r="T63" s="1181">
        <v>0</v>
      </c>
      <c r="U63" s="1181">
        <v>0</v>
      </c>
      <c r="V63" s="1181">
        <v>0</v>
      </c>
      <c r="W63" s="1181">
        <v>0</v>
      </c>
      <c r="X63" s="1181">
        <v>0</v>
      </c>
      <c r="Y63" s="1181">
        <v>0</v>
      </c>
      <c r="Z63" s="1181">
        <v>0</v>
      </c>
      <c r="AA63" s="1181">
        <v>0</v>
      </c>
    </row>
    <row r="64" spans="2:27" x14ac:dyDescent="0.3">
      <c r="B64" s="240" t="s">
        <v>1623</v>
      </c>
      <c r="C64" s="51" t="s">
        <v>1620</v>
      </c>
      <c r="D64" s="59" t="s">
        <v>1317</v>
      </c>
      <c r="E64" s="304" t="s">
        <v>1514</v>
      </c>
      <c r="F64" s="292">
        <v>3</v>
      </c>
      <c r="G64" s="419"/>
      <c r="H64" s="419"/>
      <c r="I64" s="419"/>
      <c r="J64" s="419"/>
      <c r="K64" s="419"/>
      <c r="L64" s="419"/>
      <c r="M64" s="1181">
        <v>0</v>
      </c>
      <c r="N64" s="1181">
        <v>0</v>
      </c>
      <c r="O64" s="1181">
        <v>0</v>
      </c>
      <c r="P64" s="1181">
        <v>0</v>
      </c>
      <c r="Q64" s="1181">
        <v>0</v>
      </c>
      <c r="R64" s="1181">
        <v>0</v>
      </c>
      <c r="S64" s="1181">
        <v>0</v>
      </c>
      <c r="T64" s="1181">
        <v>0</v>
      </c>
      <c r="U64" s="1181">
        <v>0</v>
      </c>
      <c r="V64" s="1181">
        <v>0</v>
      </c>
      <c r="W64" s="1181">
        <v>0</v>
      </c>
      <c r="X64" s="1181">
        <v>0</v>
      </c>
      <c r="Y64" s="1181">
        <v>0</v>
      </c>
      <c r="Z64" s="1181">
        <v>0</v>
      </c>
      <c r="AA64" s="1181">
        <v>0</v>
      </c>
    </row>
    <row r="65" spans="2:27" x14ac:dyDescent="0.3">
      <c r="B65" s="240" t="s">
        <v>1624</v>
      </c>
      <c r="C65" s="51" t="s">
        <v>1616</v>
      </c>
      <c r="D65" s="59" t="s">
        <v>1513</v>
      </c>
      <c r="E65" s="304" t="s">
        <v>1514</v>
      </c>
      <c r="F65" s="292">
        <v>3</v>
      </c>
      <c r="G65" s="313">
        <f>SUM(G59,G62)</f>
        <v>0</v>
      </c>
      <c r="H65" s="313">
        <f t="shared" ref="H65:AA67" si="20">SUM(H59,H62)</f>
        <v>0</v>
      </c>
      <c r="I65" s="313">
        <f t="shared" si="20"/>
        <v>0</v>
      </c>
      <c r="J65" s="313">
        <f t="shared" si="20"/>
        <v>0</v>
      </c>
      <c r="K65" s="313">
        <f t="shared" si="20"/>
        <v>0</v>
      </c>
      <c r="L65" s="313">
        <f t="shared" si="20"/>
        <v>0</v>
      </c>
      <c r="M65" s="313">
        <f t="shared" ref="M65:R66" si="21">SUM(M59,M62)</f>
        <v>0</v>
      </c>
      <c r="N65" s="313">
        <f t="shared" si="21"/>
        <v>0</v>
      </c>
      <c r="O65" s="313">
        <f t="shared" si="21"/>
        <v>0</v>
      </c>
      <c r="P65" s="313">
        <f t="shared" si="21"/>
        <v>0</v>
      </c>
      <c r="Q65" s="313">
        <f t="shared" si="21"/>
        <v>0</v>
      </c>
      <c r="R65" s="313">
        <f t="shared" si="21"/>
        <v>0</v>
      </c>
      <c r="S65" s="313">
        <f t="shared" si="20"/>
        <v>0</v>
      </c>
      <c r="T65" s="313">
        <f t="shared" si="20"/>
        <v>0</v>
      </c>
      <c r="U65" s="313">
        <f t="shared" si="20"/>
        <v>0</v>
      </c>
      <c r="V65" s="313">
        <f t="shared" si="20"/>
        <v>0</v>
      </c>
      <c r="W65" s="313">
        <f t="shared" si="20"/>
        <v>0</v>
      </c>
      <c r="X65" s="313">
        <f t="shared" si="20"/>
        <v>0</v>
      </c>
      <c r="Y65" s="313">
        <f t="shared" si="20"/>
        <v>0</v>
      </c>
      <c r="Z65" s="313">
        <f t="shared" si="20"/>
        <v>0</v>
      </c>
      <c r="AA65" s="314">
        <f t="shared" si="20"/>
        <v>0</v>
      </c>
    </row>
    <row r="66" spans="2:27" x14ac:dyDescent="0.3">
      <c r="B66" s="240" t="s">
        <v>1625</v>
      </c>
      <c r="C66" s="51" t="s">
        <v>1618</v>
      </c>
      <c r="D66" s="59" t="s">
        <v>1513</v>
      </c>
      <c r="E66" s="304" t="s">
        <v>1514</v>
      </c>
      <c r="F66" s="292">
        <v>3</v>
      </c>
      <c r="G66" s="313">
        <f t="shared" ref="G66:V67" si="22">SUM(G60,G63)</f>
        <v>0</v>
      </c>
      <c r="H66" s="313">
        <f t="shared" si="22"/>
        <v>0</v>
      </c>
      <c r="I66" s="313">
        <f t="shared" si="22"/>
        <v>0</v>
      </c>
      <c r="J66" s="313">
        <f t="shared" si="22"/>
        <v>0</v>
      </c>
      <c r="K66" s="313">
        <f t="shared" si="22"/>
        <v>0</v>
      </c>
      <c r="L66" s="313">
        <f t="shared" si="22"/>
        <v>0</v>
      </c>
      <c r="M66" s="313">
        <f t="shared" si="21"/>
        <v>0</v>
      </c>
      <c r="N66" s="313">
        <f t="shared" si="21"/>
        <v>0</v>
      </c>
      <c r="O66" s="313">
        <f t="shared" si="21"/>
        <v>0</v>
      </c>
      <c r="P66" s="313">
        <f t="shared" si="21"/>
        <v>0</v>
      </c>
      <c r="Q66" s="313">
        <f t="shared" si="21"/>
        <v>0</v>
      </c>
      <c r="R66" s="313">
        <f t="shared" si="21"/>
        <v>0</v>
      </c>
      <c r="S66" s="313">
        <f t="shared" si="22"/>
        <v>0</v>
      </c>
      <c r="T66" s="313">
        <f t="shared" si="22"/>
        <v>0</v>
      </c>
      <c r="U66" s="313">
        <f t="shared" si="22"/>
        <v>0</v>
      </c>
      <c r="V66" s="313">
        <f t="shared" si="22"/>
        <v>0</v>
      </c>
      <c r="W66" s="313">
        <f t="shared" si="20"/>
        <v>0</v>
      </c>
      <c r="X66" s="313">
        <f t="shared" si="20"/>
        <v>0</v>
      </c>
      <c r="Y66" s="313">
        <f t="shared" si="20"/>
        <v>0</v>
      </c>
      <c r="Z66" s="313">
        <f t="shared" si="20"/>
        <v>0</v>
      </c>
      <c r="AA66" s="314">
        <f t="shared" si="20"/>
        <v>0</v>
      </c>
    </row>
    <row r="67" spans="2:27" x14ac:dyDescent="0.3">
      <c r="B67" s="240" t="s">
        <v>1626</v>
      </c>
      <c r="C67" s="51" t="s">
        <v>1620</v>
      </c>
      <c r="D67" s="59" t="s">
        <v>1513</v>
      </c>
      <c r="E67" s="304" t="s">
        <v>1514</v>
      </c>
      <c r="F67" s="292">
        <v>3</v>
      </c>
      <c r="G67" s="313">
        <f t="shared" si="22"/>
        <v>0</v>
      </c>
      <c r="H67" s="313">
        <f t="shared" si="20"/>
        <v>0</v>
      </c>
      <c r="I67" s="313">
        <f t="shared" si="20"/>
        <v>0</v>
      </c>
      <c r="J67" s="313">
        <f t="shared" si="20"/>
        <v>0</v>
      </c>
      <c r="K67" s="313">
        <f t="shared" si="20"/>
        <v>0</v>
      </c>
      <c r="L67" s="313">
        <f t="shared" si="20"/>
        <v>0</v>
      </c>
      <c r="M67" s="313">
        <f t="shared" si="20"/>
        <v>0.186</v>
      </c>
      <c r="N67" s="313">
        <f t="shared" si="20"/>
        <v>0.186</v>
      </c>
      <c r="O67" s="313">
        <f t="shared" si="20"/>
        <v>0.186</v>
      </c>
      <c r="P67" s="313">
        <f t="shared" si="20"/>
        <v>0.186</v>
      </c>
      <c r="Q67" s="313">
        <f t="shared" si="20"/>
        <v>0.186</v>
      </c>
      <c r="R67" s="313">
        <f t="shared" si="20"/>
        <v>0</v>
      </c>
      <c r="S67" s="313">
        <f t="shared" si="20"/>
        <v>0</v>
      </c>
      <c r="T67" s="313">
        <f t="shared" si="20"/>
        <v>0</v>
      </c>
      <c r="U67" s="313">
        <f t="shared" si="20"/>
        <v>0</v>
      </c>
      <c r="V67" s="313">
        <f t="shared" si="20"/>
        <v>0</v>
      </c>
      <c r="W67" s="313">
        <f t="shared" si="20"/>
        <v>0</v>
      </c>
      <c r="X67" s="313">
        <f t="shared" si="20"/>
        <v>0</v>
      </c>
      <c r="Y67" s="313">
        <f t="shared" si="20"/>
        <v>0</v>
      </c>
      <c r="Z67" s="313">
        <f t="shared" si="20"/>
        <v>0</v>
      </c>
      <c r="AA67" s="314">
        <f t="shared" si="20"/>
        <v>0</v>
      </c>
    </row>
    <row r="68" spans="2:27" x14ac:dyDescent="0.3">
      <c r="B68" s="240" t="s">
        <v>1627</v>
      </c>
      <c r="C68" s="51" t="s">
        <v>1628</v>
      </c>
      <c r="D68" s="59" t="s">
        <v>1513</v>
      </c>
      <c r="E68" s="304" t="s">
        <v>1514</v>
      </c>
      <c r="F68" s="292">
        <v>3</v>
      </c>
      <c r="G68" s="309">
        <f>SUM(G58,G49,G40,G65,G66,G67)</f>
        <v>0</v>
      </c>
      <c r="H68" s="309">
        <f t="shared" ref="H68:AA68" si="23">SUM(H58,H49,H40,H65,H66,H67)</f>
        <v>0</v>
      </c>
      <c r="I68" s="309">
        <f t="shared" si="23"/>
        <v>0</v>
      </c>
      <c r="J68" s="309">
        <f t="shared" si="23"/>
        <v>0</v>
      </c>
      <c r="K68" s="309">
        <f t="shared" si="23"/>
        <v>0</v>
      </c>
      <c r="L68" s="309">
        <f t="shared" si="23"/>
        <v>0</v>
      </c>
      <c r="M68" s="309">
        <f t="shared" si="23"/>
        <v>0.99</v>
      </c>
      <c r="N68" s="309">
        <f t="shared" si="23"/>
        <v>0.99</v>
      </c>
      <c r="O68" s="309">
        <f t="shared" si="23"/>
        <v>0.99</v>
      </c>
      <c r="P68" s="309">
        <f t="shared" si="23"/>
        <v>0.99</v>
      </c>
      <c r="Q68" s="309">
        <f t="shared" si="23"/>
        <v>0.99</v>
      </c>
      <c r="R68" s="309">
        <f t="shared" si="23"/>
        <v>2.5099999999999998</v>
      </c>
      <c r="S68" s="309">
        <f t="shared" si="23"/>
        <v>0</v>
      </c>
      <c r="T68" s="309">
        <f t="shared" si="23"/>
        <v>0</v>
      </c>
      <c r="U68" s="309">
        <f t="shared" si="23"/>
        <v>0</v>
      </c>
      <c r="V68" s="309">
        <f t="shared" si="23"/>
        <v>0</v>
      </c>
      <c r="W68" s="309">
        <f t="shared" si="23"/>
        <v>0</v>
      </c>
      <c r="X68" s="309">
        <f t="shared" si="23"/>
        <v>0</v>
      </c>
      <c r="Y68" s="309">
        <f t="shared" si="23"/>
        <v>0</v>
      </c>
      <c r="Z68" s="309">
        <f t="shared" si="23"/>
        <v>0</v>
      </c>
      <c r="AA68" s="309">
        <f t="shared" si="23"/>
        <v>0</v>
      </c>
    </row>
    <row r="69" spans="2:27" ht="14.5" thickBot="1" x14ac:dyDescent="0.35">
      <c r="B69" s="242"/>
      <c r="C69" s="243"/>
      <c r="D69" s="63"/>
      <c r="E69" s="244"/>
      <c r="F69" s="245"/>
      <c r="G69" s="254"/>
      <c r="H69" s="254"/>
      <c r="I69" s="254"/>
      <c r="J69" s="254"/>
      <c r="K69" s="254"/>
      <c r="L69" s="254"/>
      <c r="M69" s="254"/>
      <c r="N69" s="254"/>
      <c r="O69" s="254"/>
      <c r="P69" s="254"/>
      <c r="Q69" s="254"/>
      <c r="R69" s="254"/>
      <c r="S69" s="254"/>
      <c r="T69" s="254"/>
      <c r="U69" s="254"/>
      <c r="V69" s="254"/>
      <c r="W69" s="254"/>
      <c r="X69" s="254"/>
      <c r="Y69" s="254"/>
      <c r="Z69" s="254"/>
      <c r="AA69" s="254"/>
    </row>
    <row r="70" spans="2:27" ht="56.5" thickBot="1" x14ac:dyDescent="0.35">
      <c r="B70" s="206" t="s">
        <v>1629</v>
      </c>
      <c r="G70" s="1738" t="s">
        <v>1534</v>
      </c>
      <c r="H70" s="1783"/>
      <c r="I70" s="1783"/>
      <c r="J70" s="1783"/>
      <c r="K70" s="1783"/>
      <c r="L70" s="1783"/>
      <c r="M70" s="1783"/>
      <c r="N70" s="1783"/>
      <c r="O70" s="1783"/>
      <c r="P70" s="1783"/>
      <c r="Q70" s="1739"/>
      <c r="R70" s="1738" t="s">
        <v>1535</v>
      </c>
      <c r="S70" s="1783"/>
      <c r="T70" s="1783"/>
      <c r="U70" s="1783"/>
      <c r="V70" s="1783"/>
      <c r="W70" s="1783"/>
      <c r="X70" s="1783"/>
      <c r="Y70" s="1783"/>
      <c r="Z70" s="1783"/>
      <c r="AA70" s="1739"/>
    </row>
    <row r="71" spans="2:27" ht="42.5" thickBot="1" x14ac:dyDescent="0.35">
      <c r="B71" s="247" t="s">
        <v>1536</v>
      </c>
      <c r="C71" s="248" t="s">
        <v>1509</v>
      </c>
      <c r="D71" s="248" t="s">
        <v>1510</v>
      </c>
      <c r="E71" s="248" t="s">
        <v>219</v>
      </c>
      <c r="F71" s="249" t="s">
        <v>220</v>
      </c>
      <c r="G71" s="247" t="s">
        <v>221</v>
      </c>
      <c r="H71" s="248" t="s">
        <v>222</v>
      </c>
      <c r="I71" s="248" t="s">
        <v>223</v>
      </c>
      <c r="J71" s="248" t="s">
        <v>224</v>
      </c>
      <c r="K71" s="248" t="s">
        <v>225</v>
      </c>
      <c r="L71" s="248" t="s">
        <v>226</v>
      </c>
      <c r="M71" s="248" t="s">
        <v>227</v>
      </c>
      <c r="N71" s="248" t="s">
        <v>228</v>
      </c>
      <c r="O71" s="248" t="s">
        <v>229</v>
      </c>
      <c r="P71" s="248" t="s">
        <v>230</v>
      </c>
      <c r="Q71" s="249" t="s">
        <v>231</v>
      </c>
      <c r="R71" s="252" t="s">
        <v>1537</v>
      </c>
      <c r="S71" s="250" t="s">
        <v>1538</v>
      </c>
      <c r="T71" s="250" t="s">
        <v>1539</v>
      </c>
      <c r="U71" s="250" t="s">
        <v>1540</v>
      </c>
      <c r="V71" s="250" t="s">
        <v>1541</v>
      </c>
      <c r="W71" s="250" t="s">
        <v>1542</v>
      </c>
      <c r="X71" s="250" t="s">
        <v>1543</v>
      </c>
      <c r="Y71" s="250" t="s">
        <v>1544</v>
      </c>
      <c r="Z71" s="250" t="s">
        <v>1545</v>
      </c>
      <c r="AA71" s="251" t="s">
        <v>1546</v>
      </c>
    </row>
    <row r="72" spans="2:27" x14ac:dyDescent="0.3">
      <c r="B72" s="240" t="s">
        <v>1630</v>
      </c>
      <c r="C72" s="51" t="s">
        <v>1631</v>
      </c>
      <c r="D72" s="59" t="s">
        <v>1322</v>
      </c>
      <c r="E72" s="304" t="s">
        <v>1514</v>
      </c>
      <c r="F72" s="292">
        <v>3</v>
      </c>
      <c r="G72" s="313">
        <f t="shared" ref="G72:AA72" si="24">SUM(G13,G16,G19,G22,G25,G32,G41,G50)</f>
        <v>0</v>
      </c>
      <c r="H72" s="313">
        <f t="shared" si="24"/>
        <v>0</v>
      </c>
      <c r="I72" s="313">
        <f t="shared" si="24"/>
        <v>0</v>
      </c>
      <c r="J72" s="313">
        <f t="shared" si="24"/>
        <v>0</v>
      </c>
      <c r="K72" s="313">
        <f t="shared" si="24"/>
        <v>0</v>
      </c>
      <c r="L72" s="313">
        <f t="shared" si="24"/>
        <v>0</v>
      </c>
      <c r="M72" s="313">
        <f t="shared" si="24"/>
        <v>47.16502951001911</v>
      </c>
      <c r="N72" s="313">
        <f t="shared" si="24"/>
        <v>47.16502951001911</v>
      </c>
      <c r="O72" s="313">
        <f t="shared" si="24"/>
        <v>47.16502951001911</v>
      </c>
      <c r="P72" s="313">
        <f t="shared" si="24"/>
        <v>47.16502951001911</v>
      </c>
      <c r="Q72" s="313">
        <f t="shared" si="24"/>
        <v>21.529732187626252</v>
      </c>
      <c r="R72" s="313">
        <f t="shared" si="24"/>
        <v>476.52499999999998</v>
      </c>
      <c r="S72" s="313">
        <f t="shared" si="24"/>
        <v>162.66200000000001</v>
      </c>
      <c r="T72" s="313">
        <f t="shared" si="24"/>
        <v>6.066026457391688</v>
      </c>
      <c r="U72" s="313">
        <f t="shared" si="24"/>
        <v>0.88500000000000001</v>
      </c>
      <c r="V72" s="313">
        <f t="shared" si="24"/>
        <v>37.444384733997417</v>
      </c>
      <c r="W72" s="313">
        <f t="shared" si="24"/>
        <v>29.199939708807381</v>
      </c>
      <c r="X72" s="313">
        <f t="shared" si="24"/>
        <v>13.731217695297154</v>
      </c>
      <c r="Y72" s="313">
        <f t="shared" si="24"/>
        <v>3.1859999999999999</v>
      </c>
      <c r="Z72" s="313">
        <f t="shared" si="24"/>
        <v>39.503605703952879</v>
      </c>
      <c r="AA72" s="314">
        <f t="shared" si="24"/>
        <v>0</v>
      </c>
    </row>
    <row r="73" spans="2:27" x14ac:dyDescent="0.3">
      <c r="B73" s="240" t="s">
        <v>1632</v>
      </c>
      <c r="C73" s="51" t="s">
        <v>1631</v>
      </c>
      <c r="D73" s="59" t="s">
        <v>1317</v>
      </c>
      <c r="E73" s="304" t="s">
        <v>1514</v>
      </c>
      <c r="F73" s="292">
        <v>3</v>
      </c>
      <c r="G73" s="313">
        <f t="shared" ref="G73:AA73" si="25">SUM(G14,G17,G20,G23,G26,G36,G45,G54)</f>
        <v>0</v>
      </c>
      <c r="H73" s="313">
        <f t="shared" si="25"/>
        <v>0</v>
      </c>
      <c r="I73" s="313">
        <f t="shared" si="25"/>
        <v>0</v>
      </c>
      <c r="J73" s="313">
        <f t="shared" si="25"/>
        <v>0</v>
      </c>
      <c r="K73" s="313">
        <f t="shared" si="25"/>
        <v>0</v>
      </c>
      <c r="L73" s="313">
        <f t="shared" si="25"/>
        <v>0</v>
      </c>
      <c r="M73" s="313">
        <f t="shared" si="25"/>
        <v>0.85099999999999998</v>
      </c>
      <c r="N73" s="313">
        <f t="shared" si="25"/>
        <v>0.85099999999999998</v>
      </c>
      <c r="O73" s="313">
        <f t="shared" si="25"/>
        <v>0.85099999999999998</v>
      </c>
      <c r="P73" s="313">
        <f t="shared" si="25"/>
        <v>0.85099999999999998</v>
      </c>
      <c r="Q73" s="313">
        <f t="shared" si="25"/>
        <v>0.85099999999999998</v>
      </c>
      <c r="R73" s="313">
        <f t="shared" si="25"/>
        <v>65.121000000000009</v>
      </c>
      <c r="S73" s="313">
        <f t="shared" si="25"/>
        <v>36.743000000000002</v>
      </c>
      <c r="T73" s="313">
        <f t="shared" si="25"/>
        <v>22.933500000000002</v>
      </c>
      <c r="U73" s="313">
        <f t="shared" si="25"/>
        <v>22.971</v>
      </c>
      <c r="V73" s="313">
        <f t="shared" si="25"/>
        <v>22.725999999999999</v>
      </c>
      <c r="W73" s="313">
        <f t="shared" si="25"/>
        <v>22.725999999999999</v>
      </c>
      <c r="X73" s="313">
        <f t="shared" si="25"/>
        <v>22.725999999999999</v>
      </c>
      <c r="Y73" s="313">
        <f t="shared" si="25"/>
        <v>22.8065</v>
      </c>
      <c r="Z73" s="313">
        <f t="shared" si="25"/>
        <v>23.128500000000003</v>
      </c>
      <c r="AA73" s="314">
        <f t="shared" si="25"/>
        <v>23.128500000000003</v>
      </c>
    </row>
    <row r="74" spans="2:27" ht="14.5" thickBot="1" x14ac:dyDescent="0.35">
      <c r="B74" s="241" t="s">
        <v>1633</v>
      </c>
      <c r="C74" s="52" t="s">
        <v>1631</v>
      </c>
      <c r="D74" s="61" t="s">
        <v>1513</v>
      </c>
      <c r="E74" s="305" t="s">
        <v>1514</v>
      </c>
      <c r="F74" s="293">
        <v>3</v>
      </c>
      <c r="G74" s="309">
        <f t="shared" ref="G74:L74" si="26">SUM(G72:G73)</f>
        <v>0</v>
      </c>
      <c r="H74" s="309">
        <f t="shared" si="26"/>
        <v>0</v>
      </c>
      <c r="I74" s="309">
        <f t="shared" si="26"/>
        <v>0</v>
      </c>
      <c r="J74" s="309">
        <f t="shared" si="26"/>
        <v>0</v>
      </c>
      <c r="K74" s="309">
        <f t="shared" si="26"/>
        <v>0</v>
      </c>
      <c r="L74" s="309">
        <f t="shared" si="26"/>
        <v>0</v>
      </c>
      <c r="M74" s="309">
        <f t="shared" ref="M74:AA74" si="27">SUM(M72:M73)</f>
        <v>48.016029510019109</v>
      </c>
      <c r="N74" s="309">
        <f t="shared" si="27"/>
        <v>48.016029510019109</v>
      </c>
      <c r="O74" s="309">
        <f t="shared" si="27"/>
        <v>48.016029510019109</v>
      </c>
      <c r="P74" s="309">
        <f t="shared" si="27"/>
        <v>48.016029510019109</v>
      </c>
      <c r="Q74" s="309">
        <f t="shared" si="27"/>
        <v>22.380732187626251</v>
      </c>
      <c r="R74" s="309">
        <f t="shared" si="27"/>
        <v>541.64599999999996</v>
      </c>
      <c r="S74" s="309">
        <f t="shared" si="27"/>
        <v>199.405</v>
      </c>
      <c r="T74" s="309">
        <f t="shared" si="27"/>
        <v>28.999526457391688</v>
      </c>
      <c r="U74" s="309">
        <f t="shared" si="27"/>
        <v>23.856000000000002</v>
      </c>
      <c r="V74" s="309">
        <f t="shared" si="27"/>
        <v>60.170384733997416</v>
      </c>
      <c r="W74" s="309">
        <f t="shared" si="27"/>
        <v>51.925939708807377</v>
      </c>
      <c r="X74" s="309">
        <f t="shared" si="27"/>
        <v>36.457217695297153</v>
      </c>
      <c r="Y74" s="309">
        <f t="shared" si="27"/>
        <v>25.9925</v>
      </c>
      <c r="Z74" s="309">
        <f t="shared" si="27"/>
        <v>62.632105703952881</v>
      </c>
      <c r="AA74" s="312">
        <f t="shared" si="27"/>
        <v>23.128500000000003</v>
      </c>
    </row>
    <row r="75" spans="2:27" ht="14.5" thickBot="1" x14ac:dyDescent="0.35">
      <c r="B75" s="242"/>
      <c r="C75" s="243"/>
      <c r="D75" s="63"/>
      <c r="E75" s="244"/>
      <c r="F75" s="245"/>
      <c r="G75" s="254"/>
      <c r="H75" s="254"/>
      <c r="I75" s="254"/>
      <c r="J75" s="254"/>
      <c r="K75" s="254"/>
      <c r="L75" s="254"/>
      <c r="M75" s="254"/>
      <c r="N75" s="254"/>
      <c r="O75" s="254"/>
      <c r="P75" s="254"/>
      <c r="Q75" s="254"/>
      <c r="R75" s="254"/>
      <c r="S75" s="254"/>
      <c r="T75" s="254"/>
      <c r="U75" s="254"/>
      <c r="V75" s="254"/>
      <c r="W75" s="254"/>
      <c r="X75" s="254"/>
      <c r="Y75" s="254"/>
      <c r="Z75" s="254"/>
      <c r="AA75" s="254"/>
    </row>
    <row r="76" spans="2:27" ht="42.5" thickBot="1" x14ac:dyDescent="0.35">
      <c r="B76" s="206" t="s">
        <v>1634</v>
      </c>
      <c r="G76" s="1738" t="s">
        <v>1534</v>
      </c>
      <c r="H76" s="1783"/>
      <c r="I76" s="1783"/>
      <c r="J76" s="1783"/>
      <c r="K76" s="1783"/>
      <c r="L76" s="1783"/>
      <c r="M76" s="1783"/>
      <c r="N76" s="1783"/>
      <c r="O76" s="1783"/>
      <c r="P76" s="1783"/>
      <c r="Q76" s="1739"/>
      <c r="R76" s="1738" t="s">
        <v>1535</v>
      </c>
      <c r="S76" s="1783"/>
      <c r="T76" s="1783"/>
      <c r="U76" s="1783"/>
      <c r="V76" s="1783"/>
      <c r="W76" s="1783"/>
      <c r="X76" s="1783"/>
      <c r="Y76" s="1783"/>
      <c r="Z76" s="1783"/>
      <c r="AA76" s="1739"/>
    </row>
    <row r="77" spans="2:27" ht="42.5" thickBot="1" x14ac:dyDescent="0.35">
      <c r="B77" s="247" t="s">
        <v>1536</v>
      </c>
      <c r="C77" s="248" t="s">
        <v>1635</v>
      </c>
      <c r="D77" s="248" t="s">
        <v>1510</v>
      </c>
      <c r="E77" s="248" t="s">
        <v>219</v>
      </c>
      <c r="F77" s="249" t="s">
        <v>220</v>
      </c>
      <c r="G77" s="247" t="s">
        <v>221</v>
      </c>
      <c r="H77" s="248" t="s">
        <v>222</v>
      </c>
      <c r="I77" s="248" t="s">
        <v>223</v>
      </c>
      <c r="J77" s="248" t="s">
        <v>224</v>
      </c>
      <c r="K77" s="248" t="s">
        <v>225</v>
      </c>
      <c r="L77" s="248" t="s">
        <v>226</v>
      </c>
      <c r="M77" s="248" t="s">
        <v>227</v>
      </c>
      <c r="N77" s="248" t="s">
        <v>228</v>
      </c>
      <c r="O77" s="248" t="s">
        <v>229</v>
      </c>
      <c r="P77" s="248" t="s">
        <v>230</v>
      </c>
      <c r="Q77" s="249" t="s">
        <v>231</v>
      </c>
      <c r="R77" s="252" t="s">
        <v>1537</v>
      </c>
      <c r="S77" s="250" t="s">
        <v>1538</v>
      </c>
      <c r="T77" s="250" t="s">
        <v>1539</v>
      </c>
      <c r="U77" s="250" t="s">
        <v>1540</v>
      </c>
      <c r="V77" s="250" t="s">
        <v>1541</v>
      </c>
      <c r="W77" s="250" t="s">
        <v>1542</v>
      </c>
      <c r="X77" s="250" t="s">
        <v>1543</v>
      </c>
      <c r="Y77" s="250" t="s">
        <v>1544</v>
      </c>
      <c r="Z77" s="250" t="s">
        <v>1545</v>
      </c>
      <c r="AA77" s="251" t="s">
        <v>1546</v>
      </c>
    </row>
    <row r="78" spans="2:27" x14ac:dyDescent="0.3">
      <c r="B78" s="1176" t="s">
        <v>1636</v>
      </c>
      <c r="C78" s="1177" t="s">
        <v>1637</v>
      </c>
      <c r="D78" s="1178" t="s">
        <v>1638</v>
      </c>
      <c r="E78" s="1179" t="s">
        <v>305</v>
      </c>
      <c r="F78" s="1180">
        <v>2</v>
      </c>
      <c r="G78" s="423"/>
      <c r="H78" s="423"/>
      <c r="I78" s="423"/>
      <c r="J78" s="423"/>
      <c r="K78" s="423"/>
      <c r="L78" s="423"/>
      <c r="M78" s="1471">
        <v>0</v>
      </c>
      <c r="N78" s="1471">
        <v>0</v>
      </c>
      <c r="O78" s="1471">
        <v>0</v>
      </c>
      <c r="P78" s="1471">
        <v>0</v>
      </c>
      <c r="Q78" s="1471">
        <v>0</v>
      </c>
      <c r="R78" s="317">
        <v>26</v>
      </c>
      <c r="S78" s="317">
        <v>44</v>
      </c>
      <c r="T78" s="317">
        <v>9</v>
      </c>
      <c r="U78" s="317">
        <v>0</v>
      </c>
      <c r="V78" s="317">
        <v>0</v>
      </c>
      <c r="W78" s="317">
        <v>0</v>
      </c>
      <c r="X78" s="317">
        <v>0</v>
      </c>
      <c r="Y78" s="317">
        <v>0</v>
      </c>
      <c r="Z78" s="317">
        <v>0</v>
      </c>
      <c r="AA78" s="317">
        <v>0</v>
      </c>
    </row>
    <row r="79" spans="2:27" x14ac:dyDescent="0.3">
      <c r="B79" s="240" t="s">
        <v>1639</v>
      </c>
      <c r="C79" s="51" t="s">
        <v>1640</v>
      </c>
      <c r="D79" s="59" t="s">
        <v>1638</v>
      </c>
      <c r="E79" s="60" t="s">
        <v>305</v>
      </c>
      <c r="F79" s="292">
        <v>2</v>
      </c>
      <c r="G79" s="423"/>
      <c r="H79" s="424"/>
      <c r="I79" s="424"/>
      <c r="J79" s="424"/>
      <c r="K79" s="424"/>
      <c r="L79" s="424"/>
      <c r="M79" s="317">
        <v>0.26</v>
      </c>
      <c r="N79" s="317">
        <v>0.26</v>
      </c>
      <c r="O79" s="317">
        <v>0.26</v>
      </c>
      <c r="P79" s="317">
        <v>0.26</v>
      </c>
      <c r="Q79" s="317">
        <v>0.26</v>
      </c>
      <c r="R79" s="317">
        <v>2.0699999999999998</v>
      </c>
      <c r="S79" s="317">
        <v>1.91</v>
      </c>
      <c r="T79" s="317">
        <v>1.65</v>
      </c>
      <c r="U79" s="317">
        <v>0.9</v>
      </c>
      <c r="V79" s="317">
        <v>0</v>
      </c>
      <c r="W79" s="317">
        <v>0</v>
      </c>
      <c r="X79" s="317">
        <v>0</v>
      </c>
      <c r="Y79" s="317">
        <v>0</v>
      </c>
      <c r="Z79" s="317">
        <v>0</v>
      </c>
      <c r="AA79" s="318">
        <v>0</v>
      </c>
    </row>
    <row r="80" spans="2:27" x14ac:dyDescent="0.3">
      <c r="B80" s="240" t="s">
        <v>1641</v>
      </c>
      <c r="C80" s="51" t="s">
        <v>1561</v>
      </c>
      <c r="D80" s="59" t="s">
        <v>1638</v>
      </c>
      <c r="E80" s="60" t="s">
        <v>305</v>
      </c>
      <c r="F80" s="292">
        <v>2</v>
      </c>
      <c r="G80" s="423"/>
      <c r="H80" s="424"/>
      <c r="I80" s="424"/>
      <c r="J80" s="424"/>
      <c r="K80" s="424"/>
      <c r="L80" s="424"/>
      <c r="M80" s="317">
        <v>0.48</v>
      </c>
      <c r="N80" s="317">
        <v>0.48</v>
      </c>
      <c r="O80" s="317">
        <v>0.48</v>
      </c>
      <c r="P80" s="317">
        <v>0.48</v>
      </c>
      <c r="Q80" s="317">
        <v>0.48</v>
      </c>
      <c r="R80" s="317">
        <v>1.71</v>
      </c>
      <c r="S80" s="317">
        <v>1.79</v>
      </c>
      <c r="T80" s="317">
        <v>0</v>
      </c>
      <c r="U80" s="317">
        <v>0</v>
      </c>
      <c r="V80" s="317">
        <v>0</v>
      </c>
      <c r="W80" s="317">
        <v>0</v>
      </c>
      <c r="X80" s="317">
        <v>0</v>
      </c>
      <c r="Y80" s="317">
        <v>0</v>
      </c>
      <c r="Z80" s="317">
        <v>0</v>
      </c>
      <c r="AA80" s="318">
        <v>0</v>
      </c>
    </row>
    <row r="81" spans="2:27" x14ac:dyDescent="0.3">
      <c r="B81" s="240" t="s">
        <v>1642</v>
      </c>
      <c r="C81" s="51" t="s">
        <v>1643</v>
      </c>
      <c r="D81" s="59" t="s">
        <v>1638</v>
      </c>
      <c r="E81" s="60" t="s">
        <v>305</v>
      </c>
      <c r="F81" s="292">
        <v>2</v>
      </c>
      <c r="G81" s="423"/>
      <c r="H81" s="424"/>
      <c r="I81" s="424"/>
      <c r="J81" s="424"/>
      <c r="K81" s="424"/>
      <c r="L81" s="424"/>
      <c r="M81" s="317">
        <v>0</v>
      </c>
      <c r="N81" s="317">
        <v>0</v>
      </c>
      <c r="O81" s="317">
        <v>0</v>
      </c>
      <c r="P81" s="317">
        <v>0</v>
      </c>
      <c r="Q81" s="317">
        <v>0</v>
      </c>
      <c r="R81" s="317">
        <v>0</v>
      </c>
      <c r="S81" s="317">
        <v>0</v>
      </c>
      <c r="T81" s="317">
        <v>0</v>
      </c>
      <c r="U81" s="317">
        <v>0</v>
      </c>
      <c r="V81" s="317">
        <v>0</v>
      </c>
      <c r="W81" s="317">
        <v>0</v>
      </c>
      <c r="X81" s="317">
        <v>0</v>
      </c>
      <c r="Y81" s="317">
        <v>0</v>
      </c>
      <c r="Z81" s="317">
        <v>0</v>
      </c>
      <c r="AA81" s="317">
        <v>0</v>
      </c>
    </row>
    <row r="82" spans="2:27" x14ac:dyDescent="0.3">
      <c r="B82" s="240" t="s">
        <v>1644</v>
      </c>
      <c r="C82" s="51" t="s">
        <v>1645</v>
      </c>
      <c r="D82" s="59" t="s">
        <v>1638</v>
      </c>
      <c r="E82" s="60" t="s">
        <v>305</v>
      </c>
      <c r="F82" s="292">
        <v>2</v>
      </c>
      <c r="G82" s="1175">
        <f>SUM(G83:G89)</f>
        <v>0</v>
      </c>
      <c r="H82" s="1175">
        <f t="shared" ref="H82:K82" si="28">SUM(H83:H89)</f>
        <v>0</v>
      </c>
      <c r="I82" s="1175">
        <f t="shared" si="28"/>
        <v>0</v>
      </c>
      <c r="J82" s="1175">
        <f t="shared" si="28"/>
        <v>0</v>
      </c>
      <c r="K82" s="1175">
        <f t="shared" si="28"/>
        <v>0</v>
      </c>
      <c r="L82" s="1175">
        <f t="shared" ref="L82:AA82" si="29">SUM(L83:L89)</f>
        <v>0</v>
      </c>
      <c r="M82" s="1175">
        <f t="shared" si="29"/>
        <v>0.53200000000000003</v>
      </c>
      <c r="N82" s="1175">
        <f t="shared" si="29"/>
        <v>0.53200000000000003</v>
      </c>
      <c r="O82" s="1175">
        <f t="shared" si="29"/>
        <v>0.53200000000000003</v>
      </c>
      <c r="P82" s="1175">
        <f t="shared" si="29"/>
        <v>0.53200000000000003</v>
      </c>
      <c r="Q82" s="1175">
        <f t="shared" si="29"/>
        <v>0.53200000000000003</v>
      </c>
      <c r="R82" s="1175">
        <f t="shared" si="29"/>
        <v>2</v>
      </c>
      <c r="S82" s="1175">
        <f t="shared" si="29"/>
        <v>0</v>
      </c>
      <c r="T82" s="1175">
        <f t="shared" si="29"/>
        <v>0</v>
      </c>
      <c r="U82" s="1175">
        <f t="shared" si="29"/>
        <v>0</v>
      </c>
      <c r="V82" s="1175">
        <f t="shared" si="29"/>
        <v>0</v>
      </c>
      <c r="W82" s="1175">
        <f t="shared" si="29"/>
        <v>0</v>
      </c>
      <c r="X82" s="1175">
        <f t="shared" si="29"/>
        <v>0</v>
      </c>
      <c r="Y82" s="1175">
        <f t="shared" si="29"/>
        <v>0</v>
      </c>
      <c r="Z82" s="1175">
        <f t="shared" si="29"/>
        <v>0</v>
      </c>
      <c r="AA82" s="1175">
        <f t="shared" si="29"/>
        <v>0</v>
      </c>
    </row>
    <row r="83" spans="2:27" x14ac:dyDescent="0.3">
      <c r="B83" s="240" t="s">
        <v>1646</v>
      </c>
      <c r="C83" s="51" t="s">
        <v>1647</v>
      </c>
      <c r="D83" s="59" t="s">
        <v>1638</v>
      </c>
      <c r="E83" s="60" t="s">
        <v>305</v>
      </c>
      <c r="F83" s="292">
        <v>2</v>
      </c>
      <c r="G83" s="423"/>
      <c r="H83" s="424"/>
      <c r="I83" s="424"/>
      <c r="J83" s="424"/>
      <c r="K83" s="424"/>
      <c r="L83" s="424"/>
      <c r="M83" s="317">
        <v>0</v>
      </c>
      <c r="N83" s="317">
        <v>0</v>
      </c>
      <c r="O83" s="317">
        <v>0</v>
      </c>
      <c r="P83" s="317">
        <v>0</v>
      </c>
      <c r="Q83" s="317">
        <v>0</v>
      </c>
      <c r="R83" s="317">
        <v>0</v>
      </c>
      <c r="S83" s="317">
        <v>0</v>
      </c>
      <c r="T83" s="317">
        <v>0</v>
      </c>
      <c r="U83" s="317">
        <v>0</v>
      </c>
      <c r="V83" s="317">
        <v>0</v>
      </c>
      <c r="W83" s="317">
        <v>0</v>
      </c>
      <c r="X83" s="317">
        <v>0</v>
      </c>
      <c r="Y83" s="317">
        <v>0</v>
      </c>
      <c r="Z83" s="317">
        <v>0</v>
      </c>
      <c r="AA83" s="317">
        <v>0</v>
      </c>
    </row>
    <row r="84" spans="2:27" x14ac:dyDescent="0.3">
      <c r="B84" s="240" t="s">
        <v>1648</v>
      </c>
      <c r="C84" s="51" t="s">
        <v>1649</v>
      </c>
      <c r="D84" s="59" t="s">
        <v>1638</v>
      </c>
      <c r="E84" s="60" t="s">
        <v>305</v>
      </c>
      <c r="F84" s="292">
        <v>2</v>
      </c>
      <c r="G84" s="423"/>
      <c r="H84" s="424"/>
      <c r="I84" s="424"/>
      <c r="J84" s="424"/>
      <c r="K84" s="424"/>
      <c r="L84" s="424"/>
      <c r="M84" s="317">
        <v>0</v>
      </c>
      <c r="N84" s="317">
        <v>0</v>
      </c>
      <c r="O84" s="317">
        <v>0</v>
      </c>
      <c r="P84" s="317">
        <v>0</v>
      </c>
      <c r="Q84" s="317">
        <v>0</v>
      </c>
      <c r="R84" s="317">
        <v>0</v>
      </c>
      <c r="S84" s="317">
        <v>0</v>
      </c>
      <c r="T84" s="317">
        <v>0</v>
      </c>
      <c r="U84" s="317">
        <v>0</v>
      </c>
      <c r="V84" s="317">
        <v>0</v>
      </c>
      <c r="W84" s="317">
        <v>0</v>
      </c>
      <c r="X84" s="317">
        <v>0</v>
      </c>
      <c r="Y84" s="317">
        <v>0</v>
      </c>
      <c r="Z84" s="317">
        <v>0</v>
      </c>
      <c r="AA84" s="317">
        <v>0</v>
      </c>
    </row>
    <row r="85" spans="2:27" x14ac:dyDescent="0.3">
      <c r="B85" s="240" t="s">
        <v>1650</v>
      </c>
      <c r="C85" s="51" t="s">
        <v>1651</v>
      </c>
      <c r="D85" s="59" t="s">
        <v>1638</v>
      </c>
      <c r="E85" s="60" t="s">
        <v>305</v>
      </c>
      <c r="F85" s="292">
        <v>2</v>
      </c>
      <c r="G85" s="423"/>
      <c r="H85" s="424"/>
      <c r="I85" s="424"/>
      <c r="J85" s="424"/>
      <c r="K85" s="424"/>
      <c r="L85" s="424"/>
      <c r="M85" s="317">
        <v>0.14199999999999999</v>
      </c>
      <c r="N85" s="317">
        <v>0.14199999999999999</v>
      </c>
      <c r="O85" s="317">
        <v>0.14199999999999999</v>
      </c>
      <c r="P85" s="317">
        <v>0.14199999999999999</v>
      </c>
      <c r="Q85" s="317">
        <v>0.14199999999999999</v>
      </c>
      <c r="R85" s="317">
        <v>0.71</v>
      </c>
      <c r="S85" s="317">
        <v>0</v>
      </c>
      <c r="T85" s="317">
        <v>0</v>
      </c>
      <c r="U85" s="317">
        <v>0</v>
      </c>
      <c r="V85" s="317">
        <v>0</v>
      </c>
      <c r="W85" s="317">
        <v>0</v>
      </c>
      <c r="X85" s="317">
        <v>0</v>
      </c>
      <c r="Y85" s="317">
        <v>0</v>
      </c>
      <c r="Z85" s="317">
        <v>0</v>
      </c>
      <c r="AA85" s="317">
        <v>0</v>
      </c>
    </row>
    <row r="86" spans="2:27" ht="28" x14ac:dyDescent="0.3">
      <c r="B86" s="240" t="s">
        <v>1652</v>
      </c>
      <c r="C86" s="51" t="s">
        <v>1653</v>
      </c>
      <c r="D86" s="59" t="s">
        <v>1638</v>
      </c>
      <c r="E86" s="60" t="s">
        <v>305</v>
      </c>
      <c r="F86" s="292">
        <v>2</v>
      </c>
      <c r="G86" s="423"/>
      <c r="H86" s="424"/>
      <c r="I86" s="424"/>
      <c r="J86" s="424"/>
      <c r="K86" s="424"/>
      <c r="L86" s="424"/>
      <c r="M86" s="317">
        <v>0</v>
      </c>
      <c r="N86" s="317">
        <v>0</v>
      </c>
      <c r="O86" s="317">
        <v>0</v>
      </c>
      <c r="P86" s="317">
        <v>0</v>
      </c>
      <c r="Q86" s="317">
        <v>0</v>
      </c>
      <c r="R86" s="317">
        <v>0</v>
      </c>
      <c r="S86" s="317">
        <v>0</v>
      </c>
      <c r="T86" s="317">
        <v>0</v>
      </c>
      <c r="U86" s="317">
        <v>0</v>
      </c>
      <c r="V86" s="317">
        <v>0</v>
      </c>
      <c r="W86" s="317">
        <v>0</v>
      </c>
      <c r="X86" s="317">
        <v>0</v>
      </c>
      <c r="Y86" s="317">
        <v>0</v>
      </c>
      <c r="Z86" s="317">
        <v>0</v>
      </c>
      <c r="AA86" s="317">
        <v>0</v>
      </c>
    </row>
    <row r="87" spans="2:27" ht="28" x14ac:dyDescent="0.3">
      <c r="B87" s="240" t="s">
        <v>1654</v>
      </c>
      <c r="C87" s="51" t="s">
        <v>1655</v>
      </c>
      <c r="D87" s="59" t="s">
        <v>1638</v>
      </c>
      <c r="E87" s="60" t="s">
        <v>305</v>
      </c>
      <c r="F87" s="292">
        <v>2</v>
      </c>
      <c r="G87" s="423"/>
      <c r="H87" s="424"/>
      <c r="I87" s="424"/>
      <c r="J87" s="424"/>
      <c r="K87" s="424"/>
      <c r="L87" s="424"/>
      <c r="M87" s="317">
        <v>0</v>
      </c>
      <c r="N87" s="317">
        <v>0</v>
      </c>
      <c r="O87" s="317">
        <v>0</v>
      </c>
      <c r="P87" s="317">
        <v>0</v>
      </c>
      <c r="Q87" s="317">
        <v>0</v>
      </c>
      <c r="R87" s="317">
        <v>0</v>
      </c>
      <c r="S87" s="317">
        <v>0</v>
      </c>
      <c r="T87" s="317">
        <v>0</v>
      </c>
      <c r="U87" s="317">
        <v>0</v>
      </c>
      <c r="V87" s="317">
        <v>0</v>
      </c>
      <c r="W87" s="317">
        <v>0</v>
      </c>
      <c r="X87" s="317">
        <v>0</v>
      </c>
      <c r="Y87" s="317">
        <v>0</v>
      </c>
      <c r="Z87" s="317">
        <v>0</v>
      </c>
      <c r="AA87" s="317">
        <v>0</v>
      </c>
    </row>
    <row r="88" spans="2:27" ht="28" x14ac:dyDescent="0.3">
      <c r="B88" s="240" t="s">
        <v>1656</v>
      </c>
      <c r="C88" s="51" t="s">
        <v>1657</v>
      </c>
      <c r="D88" s="59" t="s">
        <v>1638</v>
      </c>
      <c r="E88" s="60" t="s">
        <v>305</v>
      </c>
      <c r="F88" s="292">
        <v>2</v>
      </c>
      <c r="G88" s="423"/>
      <c r="H88" s="424"/>
      <c r="I88" s="424"/>
      <c r="J88" s="424"/>
      <c r="K88" s="424"/>
      <c r="L88" s="424"/>
      <c r="M88" s="317">
        <v>0</v>
      </c>
      <c r="N88" s="317">
        <v>0</v>
      </c>
      <c r="O88" s="317">
        <v>0</v>
      </c>
      <c r="P88" s="317">
        <v>0</v>
      </c>
      <c r="Q88" s="317">
        <v>0</v>
      </c>
      <c r="R88" s="317">
        <v>0</v>
      </c>
      <c r="S88" s="317">
        <v>0</v>
      </c>
      <c r="T88" s="317">
        <v>0</v>
      </c>
      <c r="U88" s="317">
        <v>0</v>
      </c>
      <c r="V88" s="317">
        <v>0</v>
      </c>
      <c r="W88" s="317">
        <v>0</v>
      </c>
      <c r="X88" s="317">
        <v>0</v>
      </c>
      <c r="Y88" s="317">
        <v>0</v>
      </c>
      <c r="Z88" s="317">
        <v>0</v>
      </c>
      <c r="AA88" s="317">
        <v>0</v>
      </c>
    </row>
    <row r="89" spans="2:27" ht="28.5" thickBot="1" x14ac:dyDescent="0.35">
      <c r="B89" s="241" t="s">
        <v>1658</v>
      </c>
      <c r="C89" s="52" t="s">
        <v>1659</v>
      </c>
      <c r="D89" s="61" t="s">
        <v>1638</v>
      </c>
      <c r="E89" s="62" t="s">
        <v>305</v>
      </c>
      <c r="F89" s="293">
        <v>2</v>
      </c>
      <c r="G89" s="423"/>
      <c r="H89" s="424"/>
      <c r="I89" s="424"/>
      <c r="J89" s="424"/>
      <c r="K89" s="424"/>
      <c r="L89" s="424"/>
      <c r="M89" s="317">
        <v>0.39</v>
      </c>
      <c r="N89" s="317">
        <v>0.39</v>
      </c>
      <c r="O89" s="317">
        <v>0.39</v>
      </c>
      <c r="P89" s="317">
        <v>0.39</v>
      </c>
      <c r="Q89" s="317">
        <v>0.39</v>
      </c>
      <c r="R89" s="317">
        <v>1.29</v>
      </c>
      <c r="S89" s="317">
        <v>0</v>
      </c>
      <c r="T89" s="317">
        <v>0</v>
      </c>
      <c r="U89" s="317">
        <v>0</v>
      </c>
      <c r="V89" s="317">
        <v>0</v>
      </c>
      <c r="W89" s="317">
        <v>0</v>
      </c>
      <c r="X89" s="317">
        <v>0</v>
      </c>
      <c r="Y89" s="317">
        <v>0</v>
      </c>
      <c r="Z89" s="317">
        <v>0</v>
      </c>
      <c r="AA89" s="317">
        <v>0</v>
      </c>
    </row>
    <row r="90" spans="2:27" ht="14.5" thickBot="1" x14ac:dyDescent="0.35">
      <c r="B90" s="242"/>
      <c r="C90" s="243"/>
      <c r="D90" s="63"/>
      <c r="E90" s="244"/>
      <c r="F90" s="245"/>
      <c r="G90" s="254"/>
      <c r="H90" s="254"/>
      <c r="I90" s="254"/>
      <c r="J90" s="254"/>
      <c r="K90" s="254"/>
      <c r="L90" s="254"/>
      <c r="M90" s="254"/>
      <c r="N90" s="254"/>
      <c r="O90" s="254"/>
      <c r="P90" s="254"/>
      <c r="Q90" s="254"/>
      <c r="R90" s="254"/>
      <c r="S90" s="254"/>
      <c r="T90" s="254"/>
      <c r="U90" s="254"/>
      <c r="V90" s="254"/>
      <c r="W90" s="254"/>
      <c r="X90" s="254"/>
      <c r="Y90" s="254"/>
      <c r="Z90" s="254"/>
      <c r="AA90" s="254"/>
    </row>
    <row r="91" spans="2:27" ht="42.5" thickBot="1" x14ac:dyDescent="0.35">
      <c r="B91" s="206" t="s">
        <v>1660</v>
      </c>
      <c r="G91" s="1738" t="s">
        <v>1534</v>
      </c>
      <c r="H91" s="1783"/>
      <c r="I91" s="1783"/>
      <c r="J91" s="1783"/>
      <c r="K91" s="1783"/>
      <c r="L91" s="1783"/>
      <c r="M91" s="1783"/>
      <c r="N91" s="1783"/>
      <c r="O91" s="1783"/>
      <c r="P91" s="1783"/>
      <c r="Q91" s="1739"/>
      <c r="R91" s="1738" t="s">
        <v>1535</v>
      </c>
      <c r="S91" s="1783"/>
      <c r="T91" s="1783"/>
      <c r="U91" s="1783"/>
      <c r="V91" s="1783"/>
      <c r="W91" s="1783"/>
      <c r="X91" s="1783"/>
      <c r="Y91" s="1783"/>
      <c r="Z91" s="1783"/>
      <c r="AA91" s="1739"/>
    </row>
    <row r="92" spans="2:27" ht="42.5" thickBot="1" x14ac:dyDescent="0.35">
      <c r="B92" s="247" t="s">
        <v>1536</v>
      </c>
      <c r="C92" s="248" t="s">
        <v>1509</v>
      </c>
      <c r="D92" s="248" t="s">
        <v>1510</v>
      </c>
      <c r="E92" s="248" t="s">
        <v>219</v>
      </c>
      <c r="F92" s="249" t="s">
        <v>220</v>
      </c>
      <c r="G92" s="247" t="s">
        <v>221</v>
      </c>
      <c r="H92" s="248" t="s">
        <v>222</v>
      </c>
      <c r="I92" s="248" t="s">
        <v>223</v>
      </c>
      <c r="J92" s="248" t="s">
        <v>224</v>
      </c>
      <c r="K92" s="248" t="s">
        <v>225</v>
      </c>
      <c r="L92" s="248" t="s">
        <v>226</v>
      </c>
      <c r="M92" s="248" t="s">
        <v>227</v>
      </c>
      <c r="N92" s="248" t="s">
        <v>228</v>
      </c>
      <c r="O92" s="248" t="s">
        <v>229</v>
      </c>
      <c r="P92" s="248" t="s">
        <v>230</v>
      </c>
      <c r="Q92" s="249" t="s">
        <v>231</v>
      </c>
      <c r="R92" s="252" t="s">
        <v>1537</v>
      </c>
      <c r="S92" s="250" t="s">
        <v>1538</v>
      </c>
      <c r="T92" s="250" t="s">
        <v>1539</v>
      </c>
      <c r="U92" s="250" t="s">
        <v>1540</v>
      </c>
      <c r="V92" s="250" t="s">
        <v>1541</v>
      </c>
      <c r="W92" s="250" t="s">
        <v>1542</v>
      </c>
      <c r="X92" s="250" t="s">
        <v>1543</v>
      </c>
      <c r="Y92" s="250" t="s">
        <v>1544</v>
      </c>
      <c r="Z92" s="250" t="s">
        <v>1545</v>
      </c>
      <c r="AA92" s="251" t="s">
        <v>1546</v>
      </c>
    </row>
    <row r="93" spans="2:27" x14ac:dyDescent="0.3">
      <c r="B93" s="240" t="s">
        <v>1661</v>
      </c>
      <c r="C93" s="51" t="s">
        <v>1662</v>
      </c>
      <c r="D93" s="59" t="s">
        <v>1513</v>
      </c>
      <c r="E93" s="304" t="s">
        <v>1514</v>
      </c>
      <c r="F93" s="292">
        <v>3</v>
      </c>
      <c r="G93" s="421"/>
      <c r="H93" s="422"/>
      <c r="I93" s="422"/>
      <c r="J93" s="422"/>
      <c r="K93" s="422"/>
      <c r="L93" s="422"/>
      <c r="M93" s="315">
        <v>1.1644000000000001</v>
      </c>
      <c r="N93" s="315">
        <v>1.1644000000000001</v>
      </c>
      <c r="O93" s="315">
        <v>1.1644000000000001</v>
      </c>
      <c r="P93" s="315">
        <v>1.1644000000000001</v>
      </c>
      <c r="Q93" s="315">
        <v>1.1644000000000001</v>
      </c>
      <c r="R93" s="315">
        <v>5.8220000000000001</v>
      </c>
      <c r="S93" s="315">
        <v>5.8220000000000001</v>
      </c>
      <c r="T93" s="315">
        <v>5.8220000000000001</v>
      </c>
      <c r="U93" s="319">
        <v>8.07</v>
      </c>
      <c r="V93" s="315">
        <v>0</v>
      </c>
      <c r="W93" s="315">
        <v>0</v>
      </c>
      <c r="X93" s="315">
        <v>0</v>
      </c>
      <c r="Y93" s="315">
        <v>0</v>
      </c>
      <c r="Z93" s="315">
        <v>0</v>
      </c>
      <c r="AA93" s="315">
        <v>0</v>
      </c>
    </row>
    <row r="94" spans="2:27" ht="14.5" thickBot="1" x14ac:dyDescent="0.35">
      <c r="B94" s="241" t="s">
        <v>1663</v>
      </c>
      <c r="C94" s="52" t="s">
        <v>1664</v>
      </c>
      <c r="D94" s="61" t="s">
        <v>1513</v>
      </c>
      <c r="E94" s="305" t="s">
        <v>1514</v>
      </c>
      <c r="F94" s="293">
        <v>3</v>
      </c>
      <c r="G94" s="425"/>
      <c r="H94" s="426"/>
      <c r="I94" s="426"/>
      <c r="J94" s="426"/>
      <c r="K94" s="426"/>
      <c r="L94" s="426"/>
      <c r="M94" s="319">
        <v>0.48599999999999999</v>
      </c>
      <c r="N94" s="319">
        <v>0.48599999999999999</v>
      </c>
      <c r="O94" s="319">
        <v>0.48599999999999999</v>
      </c>
      <c r="P94" s="319">
        <v>0.48599999999999999</v>
      </c>
      <c r="Q94" s="319">
        <v>0.48599999999999999</v>
      </c>
      <c r="R94" s="319">
        <v>2.1</v>
      </c>
      <c r="S94" s="319">
        <v>1.54</v>
      </c>
      <c r="T94" s="319">
        <v>0</v>
      </c>
      <c r="U94" s="319">
        <v>0</v>
      </c>
      <c r="V94" s="319">
        <v>0</v>
      </c>
      <c r="W94" s="319">
        <v>0</v>
      </c>
      <c r="X94" s="319">
        <v>0</v>
      </c>
      <c r="Y94" s="319">
        <v>0</v>
      </c>
      <c r="Z94" s="319">
        <v>0</v>
      </c>
      <c r="AA94" s="320">
        <v>0</v>
      </c>
    </row>
    <row r="95" spans="2:27" x14ac:dyDescent="0.3">
      <c r="B95" s="236"/>
      <c r="C95" s="255"/>
      <c r="D95" s="255"/>
      <c r="E95" s="255"/>
      <c r="F95" s="255"/>
    </row>
    <row r="96" spans="2:27" ht="14.5" thickBot="1" x14ac:dyDescent="0.35"/>
    <row r="97" spans="2:27" ht="28.5" thickBot="1" x14ac:dyDescent="0.35">
      <c r="B97" s="434" t="s">
        <v>60</v>
      </c>
      <c r="C97" s="69" t="str">
        <f>'TITLE PAGE'!$D$18</f>
        <v>Cambridge Water</v>
      </c>
      <c r="D97" s="432" t="s">
        <v>2</v>
      </c>
      <c r="E97" s="431">
        <v>3</v>
      </c>
      <c r="G97" s="1243" t="s">
        <v>59</v>
      </c>
    </row>
    <row r="98" spans="2:27" ht="42.5" thickBot="1" x14ac:dyDescent="0.35">
      <c r="B98" s="433" t="s">
        <v>214</v>
      </c>
      <c r="C98" s="1256" t="s">
        <v>1665</v>
      </c>
      <c r="D98" s="427" t="s">
        <v>1532</v>
      </c>
      <c r="E98" s="428">
        <v>1009.2809999999999</v>
      </c>
    </row>
    <row r="99" spans="2:27" ht="14.5" thickBot="1" x14ac:dyDescent="0.35"/>
    <row r="100" spans="2:27" ht="42.5" thickBot="1" x14ac:dyDescent="0.35">
      <c r="B100" s="206" t="s">
        <v>1533</v>
      </c>
      <c r="G100" s="1738" t="s">
        <v>1534</v>
      </c>
      <c r="H100" s="1783"/>
      <c r="I100" s="1783"/>
      <c r="J100" s="1783"/>
      <c r="K100" s="1783"/>
      <c r="L100" s="1783"/>
      <c r="M100" s="1783"/>
      <c r="N100" s="1783"/>
      <c r="O100" s="1783"/>
      <c r="P100" s="1783"/>
      <c r="Q100" s="1739"/>
      <c r="R100" s="1738" t="s">
        <v>1535</v>
      </c>
      <c r="S100" s="1783"/>
      <c r="T100" s="1783"/>
      <c r="U100" s="1783"/>
      <c r="V100" s="1783"/>
      <c r="W100" s="1783"/>
      <c r="X100" s="1783"/>
      <c r="Y100" s="1783"/>
      <c r="Z100" s="1783"/>
      <c r="AA100" s="1739"/>
    </row>
    <row r="101" spans="2:27" ht="42.5" thickBot="1" x14ac:dyDescent="0.35">
      <c r="B101" s="247" t="s">
        <v>1536</v>
      </c>
      <c r="C101" s="248" t="s">
        <v>1509</v>
      </c>
      <c r="D101" s="248" t="s">
        <v>1510</v>
      </c>
      <c r="E101" s="248" t="s">
        <v>219</v>
      </c>
      <c r="F101" s="249" t="s">
        <v>220</v>
      </c>
      <c r="G101" s="247" t="s">
        <v>221</v>
      </c>
      <c r="H101" s="248" t="s">
        <v>222</v>
      </c>
      <c r="I101" s="248" t="s">
        <v>223</v>
      </c>
      <c r="J101" s="248" t="s">
        <v>224</v>
      </c>
      <c r="K101" s="248" t="s">
        <v>225</v>
      </c>
      <c r="L101" s="248" t="s">
        <v>226</v>
      </c>
      <c r="M101" s="248" t="s">
        <v>227</v>
      </c>
      <c r="N101" s="248" t="s">
        <v>228</v>
      </c>
      <c r="O101" s="248" t="s">
        <v>229</v>
      </c>
      <c r="P101" s="248" t="s">
        <v>230</v>
      </c>
      <c r="Q101" s="249" t="s">
        <v>231</v>
      </c>
      <c r="R101" s="252" t="s">
        <v>1537</v>
      </c>
      <c r="S101" s="250" t="s">
        <v>1538</v>
      </c>
      <c r="T101" s="250" t="s">
        <v>1539</v>
      </c>
      <c r="U101" s="250" t="s">
        <v>1540</v>
      </c>
      <c r="V101" s="250" t="s">
        <v>1541</v>
      </c>
      <c r="W101" s="250" t="s">
        <v>1542</v>
      </c>
      <c r="X101" s="250" t="s">
        <v>1543</v>
      </c>
      <c r="Y101" s="250" t="s">
        <v>1544</v>
      </c>
      <c r="Z101" s="250" t="s">
        <v>1545</v>
      </c>
      <c r="AA101" s="251" t="s">
        <v>1546</v>
      </c>
    </row>
    <row r="102" spans="2:27" x14ac:dyDescent="0.3">
      <c r="B102" s="246" t="s">
        <v>1547</v>
      </c>
      <c r="C102" s="237" t="s">
        <v>1512</v>
      </c>
      <c r="D102" s="238" t="s">
        <v>1513</v>
      </c>
      <c r="E102" s="306" t="s">
        <v>1514</v>
      </c>
      <c r="F102" s="303">
        <v>3</v>
      </c>
      <c r="G102" s="417"/>
      <c r="H102" s="418"/>
      <c r="I102" s="418"/>
      <c r="J102" s="418"/>
      <c r="K102" s="418"/>
      <c r="L102" s="418"/>
      <c r="M102" s="307"/>
      <c r="N102" s="307"/>
      <c r="O102" s="307"/>
      <c r="P102" s="307"/>
      <c r="Q102" s="307"/>
      <c r="R102" s="307"/>
      <c r="S102" s="307"/>
      <c r="T102" s="307"/>
      <c r="U102" s="307"/>
      <c r="V102" s="307"/>
      <c r="W102" s="307"/>
      <c r="X102" s="307"/>
      <c r="Y102" s="307"/>
      <c r="Z102" s="307"/>
      <c r="AA102" s="310"/>
    </row>
    <row r="103" spans="2:27" x14ac:dyDescent="0.3">
      <c r="B103" s="240" t="s">
        <v>1548</v>
      </c>
      <c r="C103" s="51" t="s">
        <v>1516</v>
      </c>
      <c r="D103" s="59" t="s">
        <v>1513</v>
      </c>
      <c r="E103" s="304" t="s">
        <v>1514</v>
      </c>
      <c r="F103" s="292">
        <v>3</v>
      </c>
      <c r="G103" s="419"/>
      <c r="H103" s="420"/>
      <c r="I103" s="420"/>
      <c r="J103" s="420"/>
      <c r="K103" s="420"/>
      <c r="L103" s="420"/>
      <c r="M103" s="308"/>
      <c r="N103" s="308"/>
      <c r="O103" s="308"/>
      <c r="P103" s="308"/>
      <c r="Q103" s="308"/>
      <c r="R103" s="308"/>
      <c r="S103" s="308"/>
      <c r="T103" s="308"/>
      <c r="U103" s="308"/>
      <c r="V103" s="308"/>
      <c r="W103" s="308"/>
      <c r="X103" s="308"/>
      <c r="Y103" s="308"/>
      <c r="Z103" s="308"/>
      <c r="AA103" s="311"/>
    </row>
    <row r="104" spans="2:27" ht="14.5" thickBot="1" x14ac:dyDescent="0.35">
      <c r="B104" s="241" t="s">
        <v>1549</v>
      </c>
      <c r="C104" s="52" t="s">
        <v>1550</v>
      </c>
      <c r="D104" s="61" t="s">
        <v>1513</v>
      </c>
      <c r="E104" s="305" t="s">
        <v>1514</v>
      </c>
      <c r="F104" s="293">
        <v>3</v>
      </c>
      <c r="G104" s="309">
        <f t="shared" ref="G104:L104" si="30">SUM(G102:G103)</f>
        <v>0</v>
      </c>
      <c r="H104" s="309">
        <f t="shared" si="30"/>
        <v>0</v>
      </c>
      <c r="I104" s="309">
        <f t="shared" si="30"/>
        <v>0</v>
      </c>
      <c r="J104" s="309">
        <f t="shared" si="30"/>
        <v>0</v>
      </c>
      <c r="K104" s="309">
        <f t="shared" si="30"/>
        <v>0</v>
      </c>
      <c r="L104" s="309">
        <f t="shared" si="30"/>
        <v>0</v>
      </c>
      <c r="M104" s="309">
        <f t="shared" ref="M104:AA104" si="31">SUM(M102:M103)</f>
        <v>0</v>
      </c>
      <c r="N104" s="309">
        <f t="shared" si="31"/>
        <v>0</v>
      </c>
      <c r="O104" s="309">
        <f t="shared" si="31"/>
        <v>0</v>
      </c>
      <c r="P104" s="309">
        <f t="shared" si="31"/>
        <v>0</v>
      </c>
      <c r="Q104" s="309">
        <f t="shared" si="31"/>
        <v>0</v>
      </c>
      <c r="R104" s="309">
        <f t="shared" si="31"/>
        <v>0</v>
      </c>
      <c r="S104" s="309">
        <f t="shared" si="31"/>
        <v>0</v>
      </c>
      <c r="T104" s="309">
        <f t="shared" si="31"/>
        <v>0</v>
      </c>
      <c r="U104" s="309">
        <f t="shared" si="31"/>
        <v>0</v>
      </c>
      <c r="V104" s="309">
        <f t="shared" si="31"/>
        <v>0</v>
      </c>
      <c r="W104" s="309">
        <f t="shared" si="31"/>
        <v>0</v>
      </c>
      <c r="X104" s="309">
        <f t="shared" si="31"/>
        <v>0</v>
      </c>
      <c r="Y104" s="309">
        <f t="shared" si="31"/>
        <v>0</v>
      </c>
      <c r="Z104" s="309">
        <f t="shared" si="31"/>
        <v>0</v>
      </c>
      <c r="AA104" s="312">
        <f t="shared" si="31"/>
        <v>0</v>
      </c>
    </row>
    <row r="105" spans="2:27" ht="14.5" thickBot="1" x14ac:dyDescent="0.35">
      <c r="B105" s="242"/>
      <c r="C105" s="243"/>
      <c r="D105" s="63"/>
      <c r="E105" s="244"/>
      <c r="F105" s="245"/>
      <c r="G105" s="254"/>
      <c r="H105" s="254"/>
      <c r="I105" s="254"/>
      <c r="J105" s="254"/>
      <c r="K105" s="254"/>
      <c r="L105" s="254"/>
      <c r="M105" s="254"/>
      <c r="N105" s="254"/>
      <c r="O105" s="254"/>
      <c r="P105" s="254"/>
      <c r="Q105" s="254"/>
      <c r="R105" s="254"/>
      <c r="S105" s="254"/>
      <c r="T105" s="254"/>
      <c r="U105" s="254"/>
      <c r="V105" s="254"/>
      <c r="W105" s="254"/>
      <c r="X105" s="254"/>
      <c r="Y105" s="254"/>
      <c r="Z105" s="254"/>
      <c r="AA105" s="254"/>
    </row>
    <row r="106" spans="2:27" ht="56.5" thickBot="1" x14ac:dyDescent="0.35">
      <c r="B106" s="206" t="s">
        <v>1551</v>
      </c>
      <c r="G106" s="1738" t="s">
        <v>1534</v>
      </c>
      <c r="H106" s="1783"/>
      <c r="I106" s="1783"/>
      <c r="J106" s="1783"/>
      <c r="K106" s="1783"/>
      <c r="L106" s="1783"/>
      <c r="M106" s="1783"/>
      <c r="N106" s="1783"/>
      <c r="O106" s="1783"/>
      <c r="P106" s="1783"/>
      <c r="Q106" s="1739"/>
      <c r="R106" s="1738" t="s">
        <v>1535</v>
      </c>
      <c r="S106" s="1783"/>
      <c r="T106" s="1783"/>
      <c r="U106" s="1783"/>
      <c r="V106" s="1783"/>
      <c r="W106" s="1783"/>
      <c r="X106" s="1783"/>
      <c r="Y106" s="1783"/>
      <c r="Z106" s="1783"/>
      <c r="AA106" s="1739"/>
    </row>
    <row r="107" spans="2:27" ht="42.5" thickBot="1" x14ac:dyDescent="0.35">
      <c r="B107" s="247" t="s">
        <v>1536</v>
      </c>
      <c r="C107" s="248" t="s">
        <v>1509</v>
      </c>
      <c r="D107" s="248" t="s">
        <v>1510</v>
      </c>
      <c r="E107" s="248" t="s">
        <v>219</v>
      </c>
      <c r="F107" s="249" t="s">
        <v>220</v>
      </c>
      <c r="G107" s="247" t="s">
        <v>221</v>
      </c>
      <c r="H107" s="248" t="s">
        <v>222</v>
      </c>
      <c r="I107" s="248" t="s">
        <v>223</v>
      </c>
      <c r="J107" s="248" t="s">
        <v>224</v>
      </c>
      <c r="K107" s="248" t="s">
        <v>225</v>
      </c>
      <c r="L107" s="248" t="s">
        <v>226</v>
      </c>
      <c r="M107" s="248" t="s">
        <v>227</v>
      </c>
      <c r="N107" s="248" t="s">
        <v>228</v>
      </c>
      <c r="O107" s="248" t="s">
        <v>229</v>
      </c>
      <c r="P107" s="248" t="s">
        <v>230</v>
      </c>
      <c r="Q107" s="249" t="s">
        <v>231</v>
      </c>
      <c r="R107" s="252" t="s">
        <v>1537</v>
      </c>
      <c r="S107" s="250" t="s">
        <v>1538</v>
      </c>
      <c r="T107" s="250" t="s">
        <v>1539</v>
      </c>
      <c r="U107" s="250" t="s">
        <v>1540</v>
      </c>
      <c r="V107" s="250" t="s">
        <v>1541</v>
      </c>
      <c r="W107" s="250" t="s">
        <v>1542</v>
      </c>
      <c r="X107" s="250" t="s">
        <v>1543</v>
      </c>
      <c r="Y107" s="250" t="s">
        <v>1544</v>
      </c>
      <c r="Z107" s="250" t="s">
        <v>1545</v>
      </c>
      <c r="AA107" s="251" t="s">
        <v>1546</v>
      </c>
    </row>
    <row r="108" spans="2:27" x14ac:dyDescent="0.3">
      <c r="B108" s="239" t="s">
        <v>1552</v>
      </c>
      <c r="C108" s="51" t="s">
        <v>1553</v>
      </c>
      <c r="D108" s="59" t="s">
        <v>1322</v>
      </c>
      <c r="E108" s="304" t="s">
        <v>1514</v>
      </c>
      <c r="F108" s="292">
        <v>3</v>
      </c>
      <c r="G108" s="419"/>
      <c r="H108" s="419"/>
      <c r="I108" s="419"/>
      <c r="J108" s="419"/>
      <c r="K108" s="419"/>
      <c r="L108" s="419"/>
      <c r="M108" s="1617">
        <v>2.028</v>
      </c>
      <c r="N108" s="1617">
        <v>2.028</v>
      </c>
      <c r="O108" s="1617">
        <v>2.028</v>
      </c>
      <c r="P108" s="1617">
        <v>2.028</v>
      </c>
      <c r="Q108" s="1617">
        <v>9.5105000000000004</v>
      </c>
      <c r="R108" s="1614">
        <v>158.33150000000001</v>
      </c>
      <c r="S108" s="1614">
        <v>120.919</v>
      </c>
      <c r="T108" s="308">
        <v>0</v>
      </c>
      <c r="U108" s="308">
        <v>0</v>
      </c>
      <c r="V108" s="308">
        <v>0</v>
      </c>
      <c r="W108" s="308">
        <v>0</v>
      </c>
      <c r="X108" s="308">
        <v>0</v>
      </c>
      <c r="Y108" s="308">
        <v>0</v>
      </c>
      <c r="Z108" s="308">
        <v>0</v>
      </c>
      <c r="AA108" s="311">
        <v>0</v>
      </c>
    </row>
    <row r="109" spans="2:27" x14ac:dyDescent="0.3">
      <c r="B109" s="240" t="s">
        <v>1554</v>
      </c>
      <c r="C109" s="51" t="s">
        <v>1553</v>
      </c>
      <c r="D109" s="59" t="s">
        <v>1317</v>
      </c>
      <c r="E109" s="304" t="s">
        <v>1514</v>
      </c>
      <c r="F109" s="292">
        <v>3</v>
      </c>
      <c r="G109" s="419"/>
      <c r="H109" s="419"/>
      <c r="I109" s="419"/>
      <c r="J109" s="419"/>
      <c r="K109" s="419"/>
      <c r="L109" s="419"/>
      <c r="M109" s="1617">
        <v>0</v>
      </c>
      <c r="N109" s="1617">
        <v>0</v>
      </c>
      <c r="O109" s="1617">
        <v>0</v>
      </c>
      <c r="P109" s="1617">
        <v>0</v>
      </c>
      <c r="Q109" s="1617">
        <v>0</v>
      </c>
      <c r="R109" s="1614">
        <v>63.2</v>
      </c>
      <c r="S109" s="1614">
        <v>21.548999999999999</v>
      </c>
      <c r="T109" s="308">
        <v>10.573</v>
      </c>
      <c r="U109" s="308">
        <v>10.573</v>
      </c>
      <c r="V109" s="308">
        <v>10.573</v>
      </c>
      <c r="W109" s="308">
        <v>10.573</v>
      </c>
      <c r="X109" s="308">
        <v>10.573</v>
      </c>
      <c r="Y109" s="308">
        <v>10.573</v>
      </c>
      <c r="Z109" s="308">
        <v>10.573</v>
      </c>
      <c r="AA109" s="308">
        <v>10.573</v>
      </c>
    </row>
    <row r="110" spans="2:27" x14ac:dyDescent="0.3">
      <c r="B110" s="240" t="s">
        <v>1555</v>
      </c>
      <c r="C110" s="51" t="s">
        <v>1553</v>
      </c>
      <c r="D110" s="59" t="s">
        <v>1513</v>
      </c>
      <c r="E110" s="304" t="s">
        <v>1514</v>
      </c>
      <c r="F110" s="292">
        <v>3</v>
      </c>
      <c r="G110" s="313">
        <f t="shared" ref="G110:L110" si="32">SUM(G108:G109)</f>
        <v>0</v>
      </c>
      <c r="H110" s="313">
        <f t="shared" si="32"/>
        <v>0</v>
      </c>
      <c r="I110" s="313">
        <f t="shared" si="32"/>
        <v>0</v>
      </c>
      <c r="J110" s="313">
        <f t="shared" si="32"/>
        <v>0</v>
      </c>
      <c r="K110" s="313">
        <f t="shared" si="32"/>
        <v>0</v>
      </c>
      <c r="L110" s="313">
        <f t="shared" si="32"/>
        <v>0</v>
      </c>
      <c r="M110" s="313">
        <f t="shared" ref="M110:AA110" si="33">SUM(M108:M109)</f>
        <v>2.028</v>
      </c>
      <c r="N110" s="313">
        <f t="shared" si="33"/>
        <v>2.028</v>
      </c>
      <c r="O110" s="313">
        <f t="shared" si="33"/>
        <v>2.028</v>
      </c>
      <c r="P110" s="313">
        <f t="shared" si="33"/>
        <v>2.028</v>
      </c>
      <c r="Q110" s="313">
        <f t="shared" si="33"/>
        <v>9.5105000000000004</v>
      </c>
      <c r="R110" s="313">
        <f t="shared" si="33"/>
        <v>221.53149999999999</v>
      </c>
      <c r="S110" s="313">
        <f t="shared" si="33"/>
        <v>142.46799999999999</v>
      </c>
      <c r="T110" s="313">
        <f t="shared" si="33"/>
        <v>10.573</v>
      </c>
      <c r="U110" s="313">
        <f t="shared" si="33"/>
        <v>10.573</v>
      </c>
      <c r="V110" s="313">
        <f t="shared" si="33"/>
        <v>10.573</v>
      </c>
      <c r="W110" s="313">
        <f t="shared" si="33"/>
        <v>10.573</v>
      </c>
      <c r="X110" s="313">
        <f t="shared" si="33"/>
        <v>10.573</v>
      </c>
      <c r="Y110" s="313">
        <f t="shared" si="33"/>
        <v>10.573</v>
      </c>
      <c r="Z110" s="313">
        <f t="shared" si="33"/>
        <v>10.573</v>
      </c>
      <c r="AA110" s="314">
        <f t="shared" si="33"/>
        <v>10.573</v>
      </c>
    </row>
    <row r="111" spans="2:27" x14ac:dyDescent="0.3">
      <c r="B111" s="239" t="s">
        <v>1556</v>
      </c>
      <c r="C111" s="51" t="s">
        <v>1557</v>
      </c>
      <c r="D111" s="59" t="s">
        <v>1322</v>
      </c>
      <c r="E111" s="304" t="s">
        <v>1514</v>
      </c>
      <c r="F111" s="292">
        <v>3</v>
      </c>
      <c r="G111" s="419"/>
      <c r="H111" s="420"/>
      <c r="I111" s="420"/>
      <c r="J111" s="420"/>
      <c r="K111" s="420"/>
      <c r="L111" s="420"/>
      <c r="M111" s="1614">
        <v>0.28699999999999998</v>
      </c>
      <c r="N111" s="1614">
        <v>0.28699999999999998</v>
      </c>
      <c r="O111" s="1614">
        <v>0.28699999999999998</v>
      </c>
      <c r="P111" s="1614">
        <v>0.28699999999999998</v>
      </c>
      <c r="Q111" s="1614">
        <v>0.28699999999999998</v>
      </c>
      <c r="R111" s="1614">
        <v>0.17499999999999999</v>
      </c>
      <c r="S111" s="1614">
        <v>0.11550000000000001</v>
      </c>
      <c r="T111" s="1614">
        <v>7.0000000000000007E-2</v>
      </c>
      <c r="U111" s="1614">
        <v>0.105</v>
      </c>
      <c r="V111" s="308">
        <v>0</v>
      </c>
      <c r="W111" s="308">
        <v>0</v>
      </c>
      <c r="X111" s="308">
        <v>0</v>
      </c>
      <c r="Y111" s="308">
        <v>0</v>
      </c>
      <c r="Z111" s="308">
        <v>0</v>
      </c>
      <c r="AA111" s="308">
        <v>0</v>
      </c>
    </row>
    <row r="112" spans="2:27" x14ac:dyDescent="0.3">
      <c r="B112" s="240" t="s">
        <v>1558</v>
      </c>
      <c r="C112" s="51" t="s">
        <v>1557</v>
      </c>
      <c r="D112" s="59" t="s">
        <v>1317</v>
      </c>
      <c r="E112" s="304" t="s">
        <v>1514</v>
      </c>
      <c r="F112" s="292">
        <v>3</v>
      </c>
      <c r="G112" s="419"/>
      <c r="H112" s="420"/>
      <c r="I112" s="420"/>
      <c r="J112" s="420"/>
      <c r="K112" s="420"/>
      <c r="L112" s="420"/>
      <c r="M112" s="1614">
        <v>0.59299999999999997</v>
      </c>
      <c r="N112" s="1614">
        <v>0.59299999999999997</v>
      </c>
      <c r="O112" s="1614">
        <v>0.59299999999999997</v>
      </c>
      <c r="P112" s="1614">
        <v>0.59299999999999997</v>
      </c>
      <c r="Q112" s="1614">
        <v>0.59299999999999997</v>
      </c>
      <c r="R112" s="1614">
        <v>0.624</v>
      </c>
      <c r="S112" s="1614">
        <v>0.2142</v>
      </c>
      <c r="T112" s="1614">
        <v>0.13</v>
      </c>
      <c r="U112" s="1614">
        <v>0.19500000000000001</v>
      </c>
      <c r="V112" s="308">
        <v>0</v>
      </c>
      <c r="W112" s="308">
        <v>0</v>
      </c>
      <c r="X112" s="308">
        <v>0</v>
      </c>
      <c r="Y112" s="308">
        <v>0</v>
      </c>
      <c r="Z112" s="308">
        <v>0</v>
      </c>
      <c r="AA112" s="308">
        <v>0</v>
      </c>
    </row>
    <row r="113" spans="2:27" x14ac:dyDescent="0.3">
      <c r="B113" s="240" t="s">
        <v>1559</v>
      </c>
      <c r="C113" s="51" t="s">
        <v>1557</v>
      </c>
      <c r="D113" s="59" t="s">
        <v>1513</v>
      </c>
      <c r="E113" s="304" t="s">
        <v>1514</v>
      </c>
      <c r="F113" s="292">
        <v>3</v>
      </c>
      <c r="G113" s="313">
        <f t="shared" ref="G113:AA113" si="34">SUM(G111:G112)</f>
        <v>0</v>
      </c>
      <c r="H113" s="313">
        <f t="shared" si="34"/>
        <v>0</v>
      </c>
      <c r="I113" s="313">
        <f t="shared" si="34"/>
        <v>0</v>
      </c>
      <c r="J113" s="313">
        <f t="shared" si="34"/>
        <v>0</v>
      </c>
      <c r="K113" s="313">
        <f t="shared" si="34"/>
        <v>0</v>
      </c>
      <c r="L113" s="313">
        <f t="shared" si="34"/>
        <v>0</v>
      </c>
      <c r="M113" s="313">
        <f t="shared" si="34"/>
        <v>0.87999999999999989</v>
      </c>
      <c r="N113" s="313">
        <f t="shared" si="34"/>
        <v>0.87999999999999989</v>
      </c>
      <c r="O113" s="313">
        <f t="shared" si="34"/>
        <v>0.87999999999999989</v>
      </c>
      <c r="P113" s="313">
        <f t="shared" si="34"/>
        <v>0.87999999999999989</v>
      </c>
      <c r="Q113" s="313">
        <f t="shared" si="34"/>
        <v>0.87999999999999989</v>
      </c>
      <c r="R113" s="313">
        <f t="shared" si="34"/>
        <v>0.79899999999999993</v>
      </c>
      <c r="S113" s="313">
        <f t="shared" si="34"/>
        <v>0.32969999999999999</v>
      </c>
      <c r="T113" s="313">
        <f t="shared" si="34"/>
        <v>0.2</v>
      </c>
      <c r="U113" s="313">
        <f t="shared" si="34"/>
        <v>0.3</v>
      </c>
      <c r="V113" s="313">
        <f t="shared" si="34"/>
        <v>0</v>
      </c>
      <c r="W113" s="313">
        <f t="shared" si="34"/>
        <v>0</v>
      </c>
      <c r="X113" s="313">
        <f t="shared" si="34"/>
        <v>0</v>
      </c>
      <c r="Y113" s="313">
        <f t="shared" si="34"/>
        <v>0</v>
      </c>
      <c r="Z113" s="313">
        <f t="shared" si="34"/>
        <v>0</v>
      </c>
      <c r="AA113" s="314">
        <f t="shared" si="34"/>
        <v>0</v>
      </c>
    </row>
    <row r="114" spans="2:27" x14ac:dyDescent="0.3">
      <c r="B114" s="239" t="s">
        <v>1560</v>
      </c>
      <c r="C114" s="51" t="s">
        <v>1561</v>
      </c>
      <c r="D114" s="59" t="s">
        <v>1322</v>
      </c>
      <c r="E114" s="304" t="s">
        <v>1514</v>
      </c>
      <c r="F114" s="292">
        <v>3</v>
      </c>
      <c r="G114" s="419"/>
      <c r="H114" s="420"/>
      <c r="I114" s="420"/>
      <c r="J114" s="420"/>
      <c r="K114" s="420"/>
      <c r="L114" s="420"/>
      <c r="M114" s="308">
        <v>0.20400000000000001</v>
      </c>
      <c r="N114" s="308">
        <v>0.20400000000000001</v>
      </c>
      <c r="O114" s="308">
        <v>0.20400000000000001</v>
      </c>
      <c r="P114" s="308">
        <v>0.20400000000000001</v>
      </c>
      <c r="Q114" s="308">
        <v>0.20400000000000001</v>
      </c>
      <c r="R114" s="308">
        <v>1.0149999999999999</v>
      </c>
      <c r="S114" s="308">
        <v>11.834999999999999</v>
      </c>
      <c r="T114" s="308">
        <v>4.2924999999999995</v>
      </c>
      <c r="U114" s="308">
        <v>0.755</v>
      </c>
      <c r="V114" s="308">
        <v>0</v>
      </c>
      <c r="W114" s="308">
        <v>0</v>
      </c>
      <c r="X114" s="308">
        <v>0</v>
      </c>
      <c r="Y114" s="308">
        <v>0</v>
      </c>
      <c r="Z114" s="308">
        <v>0</v>
      </c>
      <c r="AA114" s="308">
        <v>0</v>
      </c>
    </row>
    <row r="115" spans="2:27" x14ac:dyDescent="0.3">
      <c r="B115" s="240" t="s">
        <v>1562</v>
      </c>
      <c r="C115" s="51" t="s">
        <v>1561</v>
      </c>
      <c r="D115" s="59" t="s">
        <v>1317</v>
      </c>
      <c r="E115" s="304" t="s">
        <v>1514</v>
      </c>
      <c r="F115" s="292">
        <v>3</v>
      </c>
      <c r="G115" s="419"/>
      <c r="H115" s="420"/>
      <c r="I115" s="420"/>
      <c r="J115" s="420"/>
      <c r="K115" s="420"/>
      <c r="L115" s="420"/>
      <c r="M115" s="308">
        <v>0.504</v>
      </c>
      <c r="N115" s="308">
        <v>0.504</v>
      </c>
      <c r="O115" s="308">
        <v>0.504</v>
      </c>
      <c r="P115" s="308">
        <v>0.504</v>
      </c>
      <c r="Q115" s="308">
        <v>0.504</v>
      </c>
      <c r="R115" s="308">
        <v>1.355</v>
      </c>
      <c r="S115" s="308">
        <v>0.47500000000000003</v>
      </c>
      <c r="T115" s="308">
        <v>0.13750000000000001</v>
      </c>
      <c r="U115" s="308">
        <v>7.4999999999999997E-2</v>
      </c>
      <c r="V115" s="308">
        <v>0</v>
      </c>
      <c r="W115" s="308">
        <v>0</v>
      </c>
      <c r="X115" s="308">
        <v>0</v>
      </c>
      <c r="Y115" s="308">
        <v>0</v>
      </c>
      <c r="Z115" s="308">
        <v>0</v>
      </c>
      <c r="AA115" s="308">
        <v>0</v>
      </c>
    </row>
    <row r="116" spans="2:27" x14ac:dyDescent="0.3">
      <c r="B116" s="240" t="s">
        <v>1563</v>
      </c>
      <c r="C116" s="51" t="s">
        <v>1561</v>
      </c>
      <c r="D116" s="59" t="s">
        <v>1513</v>
      </c>
      <c r="E116" s="304" t="s">
        <v>1514</v>
      </c>
      <c r="F116" s="292">
        <v>3</v>
      </c>
      <c r="G116" s="313">
        <f t="shared" ref="G116:AA116" si="35">SUM(G114:G115)</f>
        <v>0</v>
      </c>
      <c r="H116" s="313">
        <f t="shared" si="35"/>
        <v>0</v>
      </c>
      <c r="I116" s="313">
        <f t="shared" si="35"/>
        <v>0</v>
      </c>
      <c r="J116" s="313">
        <f t="shared" si="35"/>
        <v>0</v>
      </c>
      <c r="K116" s="313">
        <f t="shared" si="35"/>
        <v>0</v>
      </c>
      <c r="L116" s="313">
        <f t="shared" si="35"/>
        <v>0</v>
      </c>
      <c r="M116" s="313">
        <f t="shared" si="35"/>
        <v>0.70799999999999996</v>
      </c>
      <c r="N116" s="313">
        <f t="shared" si="35"/>
        <v>0.70799999999999996</v>
      </c>
      <c r="O116" s="313">
        <f t="shared" si="35"/>
        <v>0.70799999999999996</v>
      </c>
      <c r="P116" s="313">
        <f t="shared" si="35"/>
        <v>0.70799999999999996</v>
      </c>
      <c r="Q116" s="313">
        <f t="shared" si="35"/>
        <v>0.70799999999999996</v>
      </c>
      <c r="R116" s="313">
        <f t="shared" si="35"/>
        <v>2.37</v>
      </c>
      <c r="S116" s="313">
        <f t="shared" si="35"/>
        <v>12.309999999999999</v>
      </c>
      <c r="T116" s="313">
        <f t="shared" si="35"/>
        <v>4.43</v>
      </c>
      <c r="U116" s="313">
        <f t="shared" si="35"/>
        <v>0.83</v>
      </c>
      <c r="V116" s="313">
        <f t="shared" si="35"/>
        <v>0</v>
      </c>
      <c r="W116" s="313">
        <f t="shared" si="35"/>
        <v>0</v>
      </c>
      <c r="X116" s="313">
        <f t="shared" si="35"/>
        <v>0</v>
      </c>
      <c r="Y116" s="313">
        <f t="shared" si="35"/>
        <v>0</v>
      </c>
      <c r="Z116" s="313">
        <f t="shared" si="35"/>
        <v>0</v>
      </c>
      <c r="AA116" s="314">
        <f t="shared" si="35"/>
        <v>0</v>
      </c>
    </row>
    <row r="117" spans="2:27" x14ac:dyDescent="0.3">
      <c r="B117" s="239" t="s">
        <v>1564</v>
      </c>
      <c r="C117" s="51" t="s">
        <v>1565</v>
      </c>
      <c r="D117" s="59" t="s">
        <v>1322</v>
      </c>
      <c r="E117" s="304" t="s">
        <v>1514</v>
      </c>
      <c r="F117" s="292">
        <v>3</v>
      </c>
      <c r="G117" s="419"/>
      <c r="H117" s="420"/>
      <c r="I117" s="420"/>
      <c r="J117" s="420"/>
      <c r="K117" s="420"/>
      <c r="L117" s="420"/>
      <c r="M117" s="308">
        <v>0</v>
      </c>
      <c r="N117" s="308">
        <v>0</v>
      </c>
      <c r="O117" s="308">
        <v>0</v>
      </c>
      <c r="P117" s="308">
        <v>0</v>
      </c>
      <c r="Q117" s="308">
        <v>0</v>
      </c>
      <c r="R117" s="308">
        <v>0</v>
      </c>
      <c r="S117" s="308">
        <v>0</v>
      </c>
      <c r="T117" s="308">
        <v>0</v>
      </c>
      <c r="U117" s="308">
        <v>0</v>
      </c>
      <c r="V117" s="308">
        <v>0</v>
      </c>
      <c r="W117" s="308">
        <v>0</v>
      </c>
      <c r="X117" s="308">
        <v>0</v>
      </c>
      <c r="Y117" s="308">
        <v>0</v>
      </c>
      <c r="Z117" s="308">
        <v>0</v>
      </c>
      <c r="AA117" s="308">
        <v>0</v>
      </c>
    </row>
    <row r="118" spans="2:27" x14ac:dyDescent="0.3">
      <c r="B118" s="240" t="s">
        <v>1566</v>
      </c>
      <c r="C118" s="51" t="s">
        <v>1565</v>
      </c>
      <c r="D118" s="59" t="s">
        <v>1317</v>
      </c>
      <c r="E118" s="304" t="s">
        <v>1514</v>
      </c>
      <c r="F118" s="292">
        <v>3</v>
      </c>
      <c r="G118" s="419"/>
      <c r="H118" s="420"/>
      <c r="I118" s="420"/>
      <c r="J118" s="420"/>
      <c r="K118" s="420"/>
      <c r="L118" s="420"/>
      <c r="M118" s="308">
        <v>0</v>
      </c>
      <c r="N118" s="308">
        <v>0</v>
      </c>
      <c r="O118" s="308">
        <v>0</v>
      </c>
      <c r="P118" s="308">
        <v>0</v>
      </c>
      <c r="Q118" s="308">
        <v>0</v>
      </c>
      <c r="R118" s="308">
        <v>0</v>
      </c>
      <c r="S118" s="308">
        <v>0</v>
      </c>
      <c r="T118" s="308">
        <v>0</v>
      </c>
      <c r="U118" s="308">
        <v>0</v>
      </c>
      <c r="V118" s="308">
        <v>0</v>
      </c>
      <c r="W118" s="308">
        <v>0</v>
      </c>
      <c r="X118" s="308">
        <v>0</v>
      </c>
      <c r="Y118" s="308">
        <v>0</v>
      </c>
      <c r="Z118" s="308">
        <v>0</v>
      </c>
      <c r="AA118" s="308">
        <v>0</v>
      </c>
    </row>
    <row r="119" spans="2:27" x14ac:dyDescent="0.3">
      <c r="B119" s="240" t="s">
        <v>1567</v>
      </c>
      <c r="C119" s="51" t="s">
        <v>1565</v>
      </c>
      <c r="D119" s="59" t="s">
        <v>1513</v>
      </c>
      <c r="E119" s="304" t="s">
        <v>1514</v>
      </c>
      <c r="F119" s="292">
        <v>3</v>
      </c>
      <c r="G119" s="313">
        <f t="shared" ref="G119:AA119" si="36">SUM(G117:G118)</f>
        <v>0</v>
      </c>
      <c r="H119" s="313">
        <f t="shared" si="36"/>
        <v>0</v>
      </c>
      <c r="I119" s="313">
        <f t="shared" si="36"/>
        <v>0</v>
      </c>
      <c r="J119" s="313">
        <f t="shared" si="36"/>
        <v>0</v>
      </c>
      <c r="K119" s="313">
        <f t="shared" si="36"/>
        <v>0</v>
      </c>
      <c r="L119" s="313">
        <f t="shared" si="36"/>
        <v>0</v>
      </c>
      <c r="M119" s="313">
        <f t="shared" si="36"/>
        <v>0</v>
      </c>
      <c r="N119" s="313">
        <f t="shared" si="36"/>
        <v>0</v>
      </c>
      <c r="O119" s="313">
        <f t="shared" si="36"/>
        <v>0</v>
      </c>
      <c r="P119" s="313">
        <f t="shared" si="36"/>
        <v>0</v>
      </c>
      <c r="Q119" s="313">
        <f t="shared" si="36"/>
        <v>0</v>
      </c>
      <c r="R119" s="313">
        <f t="shared" si="36"/>
        <v>0</v>
      </c>
      <c r="S119" s="313">
        <f t="shared" si="36"/>
        <v>0</v>
      </c>
      <c r="T119" s="313">
        <f t="shared" si="36"/>
        <v>0</v>
      </c>
      <c r="U119" s="313">
        <f t="shared" si="36"/>
        <v>0</v>
      </c>
      <c r="V119" s="313">
        <f t="shared" si="36"/>
        <v>0</v>
      </c>
      <c r="W119" s="313">
        <f t="shared" si="36"/>
        <v>0</v>
      </c>
      <c r="X119" s="313">
        <f t="shared" si="36"/>
        <v>0</v>
      </c>
      <c r="Y119" s="313">
        <f t="shared" si="36"/>
        <v>0</v>
      </c>
      <c r="Z119" s="313">
        <f t="shared" si="36"/>
        <v>0</v>
      </c>
      <c r="AA119" s="314">
        <f t="shared" si="36"/>
        <v>0</v>
      </c>
    </row>
    <row r="120" spans="2:27" x14ac:dyDescent="0.3">
      <c r="B120" s="239" t="s">
        <v>1568</v>
      </c>
      <c r="C120" s="51" t="s">
        <v>1569</v>
      </c>
      <c r="D120" s="59" t="s">
        <v>1322</v>
      </c>
      <c r="E120" s="304" t="s">
        <v>1514</v>
      </c>
      <c r="F120" s="292">
        <v>3</v>
      </c>
      <c r="G120" s="419"/>
      <c r="H120" s="420"/>
      <c r="I120" s="420"/>
      <c r="J120" s="420"/>
      <c r="K120" s="420"/>
      <c r="L120" s="420"/>
      <c r="M120" s="308">
        <v>23.33</v>
      </c>
      <c r="N120" s="308">
        <v>23.33</v>
      </c>
      <c r="O120" s="308">
        <v>23.33</v>
      </c>
      <c r="P120" s="308">
        <v>0</v>
      </c>
      <c r="Q120" s="308">
        <v>163.33000000000001</v>
      </c>
      <c r="R120" s="308">
        <v>816.66700000000003</v>
      </c>
      <c r="S120" s="308">
        <v>0</v>
      </c>
      <c r="T120" s="308">
        <v>0</v>
      </c>
      <c r="U120" s="308">
        <v>0</v>
      </c>
      <c r="V120" s="308">
        <v>0</v>
      </c>
      <c r="W120" s="308">
        <v>0</v>
      </c>
      <c r="X120" s="308">
        <v>0</v>
      </c>
      <c r="Y120" s="308">
        <v>0</v>
      </c>
      <c r="Z120" s="308">
        <v>0</v>
      </c>
      <c r="AA120" s="308">
        <v>0</v>
      </c>
    </row>
    <row r="121" spans="2:27" x14ac:dyDescent="0.3">
      <c r="B121" s="240" t="s">
        <v>1570</v>
      </c>
      <c r="C121" s="51" t="s">
        <v>1569</v>
      </c>
      <c r="D121" s="59" t="s">
        <v>1317</v>
      </c>
      <c r="E121" s="304" t="s">
        <v>1514</v>
      </c>
      <c r="F121" s="292">
        <v>3</v>
      </c>
      <c r="G121" s="419"/>
      <c r="H121" s="420"/>
      <c r="I121" s="420"/>
      <c r="J121" s="420"/>
      <c r="K121" s="420"/>
      <c r="L121" s="420"/>
      <c r="M121" s="308">
        <v>0</v>
      </c>
      <c r="N121" s="308">
        <v>0</v>
      </c>
      <c r="O121" s="308">
        <v>0</v>
      </c>
      <c r="P121" s="308">
        <v>0</v>
      </c>
      <c r="Q121" s="308">
        <v>0</v>
      </c>
      <c r="R121" s="308">
        <v>0</v>
      </c>
      <c r="S121" s="1614">
        <v>6.048</v>
      </c>
      <c r="T121" s="1614">
        <v>6.048</v>
      </c>
      <c r="U121" s="1614">
        <v>6.048</v>
      </c>
      <c r="V121" s="1614">
        <v>6.048</v>
      </c>
      <c r="W121" s="1614">
        <v>6.048</v>
      </c>
      <c r="X121" s="1614">
        <v>6.048</v>
      </c>
      <c r="Y121" s="1614">
        <v>6.048</v>
      </c>
      <c r="Z121" s="1614">
        <v>6.048</v>
      </c>
      <c r="AA121" s="1614">
        <v>6.048</v>
      </c>
    </row>
    <row r="122" spans="2:27" x14ac:dyDescent="0.3">
      <c r="B122" s="240" t="s">
        <v>1571</v>
      </c>
      <c r="C122" s="51" t="s">
        <v>1569</v>
      </c>
      <c r="D122" s="59" t="s">
        <v>1513</v>
      </c>
      <c r="E122" s="304" t="s">
        <v>1514</v>
      </c>
      <c r="F122" s="292">
        <v>3</v>
      </c>
      <c r="G122" s="313">
        <f t="shared" ref="G122:AA122" si="37">SUM(G120:G121)</f>
        <v>0</v>
      </c>
      <c r="H122" s="313">
        <f t="shared" si="37"/>
        <v>0</v>
      </c>
      <c r="I122" s="313">
        <f t="shared" si="37"/>
        <v>0</v>
      </c>
      <c r="J122" s="313">
        <f t="shared" si="37"/>
        <v>0</v>
      </c>
      <c r="K122" s="313">
        <f t="shared" si="37"/>
        <v>0</v>
      </c>
      <c r="L122" s="313">
        <f t="shared" si="37"/>
        <v>0</v>
      </c>
      <c r="M122" s="313">
        <f t="shared" si="37"/>
        <v>23.33</v>
      </c>
      <c r="N122" s="313">
        <f t="shared" si="37"/>
        <v>23.33</v>
      </c>
      <c r="O122" s="313">
        <f t="shared" si="37"/>
        <v>23.33</v>
      </c>
      <c r="P122" s="313">
        <f t="shared" si="37"/>
        <v>0</v>
      </c>
      <c r="Q122" s="313">
        <f t="shared" si="37"/>
        <v>163.33000000000001</v>
      </c>
      <c r="R122" s="313">
        <f t="shared" si="37"/>
        <v>816.66700000000003</v>
      </c>
      <c r="S122" s="313">
        <f t="shared" si="37"/>
        <v>6.048</v>
      </c>
      <c r="T122" s="313">
        <f t="shared" si="37"/>
        <v>6.048</v>
      </c>
      <c r="U122" s="313">
        <f t="shared" si="37"/>
        <v>6.048</v>
      </c>
      <c r="V122" s="313">
        <f t="shared" si="37"/>
        <v>6.048</v>
      </c>
      <c r="W122" s="313">
        <f t="shared" si="37"/>
        <v>6.048</v>
      </c>
      <c r="X122" s="313">
        <f t="shared" si="37"/>
        <v>6.048</v>
      </c>
      <c r="Y122" s="313">
        <f t="shared" si="37"/>
        <v>6.048</v>
      </c>
      <c r="Z122" s="313">
        <f t="shared" si="37"/>
        <v>6.048</v>
      </c>
      <c r="AA122" s="314">
        <f t="shared" si="37"/>
        <v>6.048</v>
      </c>
    </row>
    <row r="123" spans="2:27" ht="14.5" thickBot="1" x14ac:dyDescent="0.35">
      <c r="B123" s="241" t="s">
        <v>1572</v>
      </c>
      <c r="C123" s="52" t="s">
        <v>1573</v>
      </c>
      <c r="D123" s="61" t="s">
        <v>1513</v>
      </c>
      <c r="E123" s="305" t="s">
        <v>1514</v>
      </c>
      <c r="F123" s="293">
        <v>3</v>
      </c>
      <c r="G123" s="309">
        <f t="shared" ref="G123:AA123" si="38">SUM(G122,G119,G116,G113,G110)</f>
        <v>0</v>
      </c>
      <c r="H123" s="309">
        <f t="shared" si="38"/>
        <v>0</v>
      </c>
      <c r="I123" s="309">
        <f t="shared" si="38"/>
        <v>0</v>
      </c>
      <c r="J123" s="309">
        <f t="shared" si="38"/>
        <v>0</v>
      </c>
      <c r="K123" s="309">
        <f t="shared" si="38"/>
        <v>0</v>
      </c>
      <c r="L123" s="309">
        <f t="shared" si="38"/>
        <v>0</v>
      </c>
      <c r="M123" s="309">
        <f t="shared" si="38"/>
        <v>26.945999999999994</v>
      </c>
      <c r="N123" s="309">
        <f t="shared" si="38"/>
        <v>26.945999999999994</v>
      </c>
      <c r="O123" s="309">
        <f t="shared" si="38"/>
        <v>26.945999999999994</v>
      </c>
      <c r="P123" s="309">
        <f t="shared" si="38"/>
        <v>3.6159999999999997</v>
      </c>
      <c r="Q123" s="309">
        <f t="shared" si="38"/>
        <v>174.42850000000001</v>
      </c>
      <c r="R123" s="309">
        <f t="shared" si="38"/>
        <v>1041.3675000000001</v>
      </c>
      <c r="S123" s="309">
        <f t="shared" si="38"/>
        <v>161.1557</v>
      </c>
      <c r="T123" s="309">
        <f t="shared" si="38"/>
        <v>21.250999999999998</v>
      </c>
      <c r="U123" s="309">
        <f t="shared" si="38"/>
        <v>17.751000000000001</v>
      </c>
      <c r="V123" s="309">
        <f t="shared" si="38"/>
        <v>16.621000000000002</v>
      </c>
      <c r="W123" s="309">
        <f t="shared" si="38"/>
        <v>16.621000000000002</v>
      </c>
      <c r="X123" s="309">
        <f t="shared" si="38"/>
        <v>16.621000000000002</v>
      </c>
      <c r="Y123" s="309">
        <f t="shared" si="38"/>
        <v>16.621000000000002</v>
      </c>
      <c r="Z123" s="309">
        <f t="shared" si="38"/>
        <v>16.621000000000002</v>
      </c>
      <c r="AA123" s="312">
        <f t="shared" si="38"/>
        <v>16.621000000000002</v>
      </c>
    </row>
    <row r="124" spans="2:27" ht="14.5" thickBot="1" x14ac:dyDescent="0.35">
      <c r="B124" s="242"/>
      <c r="C124" s="243"/>
      <c r="D124" s="63"/>
      <c r="E124" s="244"/>
      <c r="F124" s="245"/>
      <c r="G124" s="254"/>
      <c r="H124" s="254"/>
      <c r="I124" s="254"/>
      <c r="J124" s="254"/>
      <c r="K124" s="254"/>
      <c r="L124" s="254"/>
      <c r="M124" s="254"/>
      <c r="N124" s="254"/>
      <c r="O124" s="254"/>
      <c r="P124" s="254"/>
      <c r="Q124" s="254"/>
      <c r="R124" s="254"/>
      <c r="S124" s="254"/>
      <c r="T124" s="254"/>
      <c r="U124" s="254"/>
      <c r="V124" s="254"/>
      <c r="W124" s="254"/>
      <c r="X124" s="254"/>
      <c r="Y124" s="254"/>
      <c r="Z124" s="254"/>
      <c r="AA124" s="254"/>
    </row>
    <row r="125" spans="2:27" ht="56.5" thickBot="1" x14ac:dyDescent="0.35">
      <c r="B125" s="206" t="s">
        <v>1666</v>
      </c>
      <c r="G125" s="1738" t="s">
        <v>1534</v>
      </c>
      <c r="H125" s="1783"/>
      <c r="I125" s="1783"/>
      <c r="J125" s="1783"/>
      <c r="K125" s="1783"/>
      <c r="L125" s="1783"/>
      <c r="M125" s="1783"/>
      <c r="N125" s="1783"/>
      <c r="O125" s="1783"/>
      <c r="P125" s="1783"/>
      <c r="Q125" s="1739"/>
      <c r="R125" s="1738" t="s">
        <v>1535</v>
      </c>
      <c r="S125" s="1783"/>
      <c r="T125" s="1783"/>
      <c r="U125" s="1783"/>
      <c r="V125" s="1783"/>
      <c r="W125" s="1783"/>
      <c r="X125" s="1783"/>
      <c r="Y125" s="1783"/>
      <c r="Z125" s="1783"/>
      <c r="AA125" s="1739"/>
    </row>
    <row r="126" spans="2:27" ht="42.5" thickBot="1" x14ac:dyDescent="0.35">
      <c r="B126" s="1183" t="s">
        <v>1536</v>
      </c>
      <c r="C126" s="1184" t="s">
        <v>1509</v>
      </c>
      <c r="D126" s="1184" t="s">
        <v>1510</v>
      </c>
      <c r="E126" s="1184" t="s">
        <v>219</v>
      </c>
      <c r="F126" s="1185" t="s">
        <v>220</v>
      </c>
      <c r="G126" s="247" t="s">
        <v>221</v>
      </c>
      <c r="H126" s="248" t="s">
        <v>222</v>
      </c>
      <c r="I126" s="248" t="s">
        <v>223</v>
      </c>
      <c r="J126" s="248" t="s">
        <v>224</v>
      </c>
      <c r="K126" s="248" t="s">
        <v>225</v>
      </c>
      <c r="L126" s="248" t="s">
        <v>226</v>
      </c>
      <c r="M126" s="248" t="s">
        <v>227</v>
      </c>
      <c r="N126" s="248" t="s">
        <v>228</v>
      </c>
      <c r="O126" s="248" t="s">
        <v>229</v>
      </c>
      <c r="P126" s="248" t="s">
        <v>230</v>
      </c>
      <c r="Q126" s="249" t="s">
        <v>231</v>
      </c>
      <c r="R126" s="252" t="s">
        <v>1537</v>
      </c>
      <c r="S126" s="250" t="s">
        <v>1538</v>
      </c>
      <c r="T126" s="250" t="s">
        <v>1539</v>
      </c>
      <c r="U126" s="250" t="s">
        <v>1540</v>
      </c>
      <c r="V126" s="250" t="s">
        <v>1541</v>
      </c>
      <c r="W126" s="250" t="s">
        <v>1542</v>
      </c>
      <c r="X126" s="250" t="s">
        <v>1543</v>
      </c>
      <c r="Y126" s="250" t="s">
        <v>1544</v>
      </c>
      <c r="Z126" s="250" t="s">
        <v>1545</v>
      </c>
      <c r="AA126" s="251" t="s">
        <v>1546</v>
      </c>
    </row>
    <row r="127" spans="2:27" x14ac:dyDescent="0.3">
      <c r="B127" s="1176" t="s">
        <v>1575</v>
      </c>
      <c r="C127" s="1177" t="s">
        <v>1576</v>
      </c>
      <c r="D127" s="1178" t="s">
        <v>1322</v>
      </c>
      <c r="E127" s="1186" t="s">
        <v>1514</v>
      </c>
      <c r="F127" s="1180">
        <v>3</v>
      </c>
      <c r="G127" s="421"/>
      <c r="H127" s="422"/>
      <c r="I127" s="422"/>
      <c r="J127" s="422"/>
      <c r="K127" s="422"/>
      <c r="L127" s="422"/>
      <c r="M127" s="315">
        <v>0</v>
      </c>
      <c r="N127" s="315">
        <v>0</v>
      </c>
      <c r="O127" s="315">
        <v>0</v>
      </c>
      <c r="P127" s="315">
        <v>0</v>
      </c>
      <c r="Q127" s="315">
        <v>0</v>
      </c>
      <c r="R127" s="315">
        <v>0</v>
      </c>
      <c r="S127" s="315">
        <v>0</v>
      </c>
      <c r="T127" s="315">
        <v>0</v>
      </c>
      <c r="U127" s="315">
        <v>0</v>
      </c>
      <c r="V127" s="315">
        <v>0</v>
      </c>
      <c r="W127" s="315">
        <v>0</v>
      </c>
      <c r="X127" s="315">
        <v>0</v>
      </c>
      <c r="Y127" s="315">
        <v>0</v>
      </c>
      <c r="Z127" s="315">
        <v>0</v>
      </c>
      <c r="AA127" s="316">
        <v>0</v>
      </c>
    </row>
    <row r="128" spans="2:27" x14ac:dyDescent="0.3">
      <c r="B128" s="240" t="s">
        <v>1577</v>
      </c>
      <c r="C128" s="51" t="s">
        <v>1578</v>
      </c>
      <c r="D128" s="59" t="s">
        <v>1322</v>
      </c>
      <c r="E128" s="304" t="s">
        <v>1514</v>
      </c>
      <c r="F128" s="292">
        <v>3</v>
      </c>
      <c r="G128" s="419"/>
      <c r="H128" s="419"/>
      <c r="I128" s="419"/>
      <c r="J128" s="419"/>
      <c r="K128" s="419"/>
      <c r="L128" s="419"/>
      <c r="M128" s="1181">
        <v>0</v>
      </c>
      <c r="N128" s="1181">
        <v>0</v>
      </c>
      <c r="O128" s="1181">
        <v>0</v>
      </c>
      <c r="P128" s="1181">
        <v>0</v>
      </c>
      <c r="Q128" s="1181">
        <v>0</v>
      </c>
      <c r="R128" s="1181">
        <v>0</v>
      </c>
      <c r="S128" s="1181">
        <v>0</v>
      </c>
      <c r="T128" s="1181">
        <v>0</v>
      </c>
      <c r="U128" s="1181">
        <v>0</v>
      </c>
      <c r="V128" s="1181">
        <v>0</v>
      </c>
      <c r="W128" s="1181">
        <v>0</v>
      </c>
      <c r="X128" s="1181">
        <v>0</v>
      </c>
      <c r="Y128" s="1181">
        <v>0</v>
      </c>
      <c r="Z128" s="1181">
        <v>0</v>
      </c>
      <c r="AA128" s="1182">
        <v>0</v>
      </c>
    </row>
    <row r="129" spans="2:27" x14ac:dyDescent="0.3">
      <c r="B129" s="240" t="s">
        <v>1579</v>
      </c>
      <c r="C129" s="51" t="s">
        <v>1580</v>
      </c>
      <c r="D129" s="59" t="s">
        <v>1322</v>
      </c>
      <c r="E129" s="304" t="s">
        <v>1514</v>
      </c>
      <c r="F129" s="292">
        <v>3</v>
      </c>
      <c r="G129" s="419"/>
      <c r="H129" s="419"/>
      <c r="I129" s="419"/>
      <c r="J129" s="419"/>
      <c r="K129" s="419"/>
      <c r="L129" s="419"/>
      <c r="M129" s="1181">
        <v>0</v>
      </c>
      <c r="N129" s="1181">
        <v>0</v>
      </c>
      <c r="O129" s="1181">
        <v>0</v>
      </c>
      <c r="P129" s="1181">
        <v>0</v>
      </c>
      <c r="Q129" s="1181">
        <v>0</v>
      </c>
      <c r="R129" s="1181">
        <v>0</v>
      </c>
      <c r="S129" s="1181">
        <v>0</v>
      </c>
      <c r="T129" s="1181">
        <v>0</v>
      </c>
      <c r="U129" s="1181">
        <v>0</v>
      </c>
      <c r="V129" s="1181">
        <v>0</v>
      </c>
      <c r="W129" s="1181">
        <v>0</v>
      </c>
      <c r="X129" s="1181">
        <v>0</v>
      </c>
      <c r="Y129" s="1181">
        <v>0</v>
      </c>
      <c r="Z129" s="1181">
        <v>0</v>
      </c>
      <c r="AA129" s="1182">
        <v>0</v>
      </c>
    </row>
    <row r="130" spans="2:27" x14ac:dyDescent="0.3">
      <c r="B130" s="240" t="s">
        <v>1581</v>
      </c>
      <c r="C130" s="51" t="s">
        <v>1582</v>
      </c>
      <c r="D130" s="59" t="s">
        <v>1322</v>
      </c>
      <c r="E130" s="304" t="s">
        <v>1514</v>
      </c>
      <c r="F130" s="292">
        <v>3</v>
      </c>
      <c r="G130" s="419"/>
      <c r="H130" s="419"/>
      <c r="I130" s="419"/>
      <c r="J130" s="419"/>
      <c r="K130" s="419"/>
      <c r="L130" s="419"/>
      <c r="M130" s="1181">
        <v>0</v>
      </c>
      <c r="N130" s="1181">
        <v>0</v>
      </c>
      <c r="O130" s="1181">
        <v>0</v>
      </c>
      <c r="P130" s="1181">
        <v>0</v>
      </c>
      <c r="Q130" s="1181">
        <v>0</v>
      </c>
      <c r="R130" s="1181">
        <v>0</v>
      </c>
      <c r="S130" s="1181">
        <v>0</v>
      </c>
      <c r="T130" s="1181">
        <v>0</v>
      </c>
      <c r="U130" s="1181">
        <v>0</v>
      </c>
      <c r="V130" s="1181">
        <v>0</v>
      </c>
      <c r="W130" s="1181">
        <v>0</v>
      </c>
      <c r="X130" s="1181">
        <v>0</v>
      </c>
      <c r="Y130" s="1181">
        <v>0</v>
      </c>
      <c r="Z130" s="1181">
        <v>0</v>
      </c>
      <c r="AA130" s="1182">
        <v>0</v>
      </c>
    </row>
    <row r="131" spans="2:27" x14ac:dyDescent="0.3">
      <c r="B131" s="240" t="s">
        <v>1583</v>
      </c>
      <c r="C131" s="51" t="s">
        <v>1576</v>
      </c>
      <c r="D131" s="59" t="s">
        <v>1317</v>
      </c>
      <c r="E131" s="304" t="s">
        <v>1514</v>
      </c>
      <c r="F131" s="292">
        <v>3</v>
      </c>
      <c r="G131" s="421"/>
      <c r="H131" s="422"/>
      <c r="I131" s="422"/>
      <c r="J131" s="422"/>
      <c r="K131" s="422"/>
      <c r="L131" s="422"/>
      <c r="M131" s="315">
        <v>0</v>
      </c>
      <c r="N131" s="315">
        <v>0</v>
      </c>
      <c r="O131" s="315">
        <v>0</v>
      </c>
      <c r="P131" s="315">
        <v>0</v>
      </c>
      <c r="Q131" s="315">
        <v>0</v>
      </c>
      <c r="R131" s="315">
        <v>0</v>
      </c>
      <c r="S131" s="315">
        <v>0</v>
      </c>
      <c r="T131" s="315">
        <v>0</v>
      </c>
      <c r="U131" s="315">
        <v>0</v>
      </c>
      <c r="V131" s="315">
        <v>0</v>
      </c>
      <c r="W131" s="315">
        <v>0</v>
      </c>
      <c r="X131" s="315">
        <v>0</v>
      </c>
      <c r="Y131" s="315">
        <v>0</v>
      </c>
      <c r="Z131" s="315">
        <v>0</v>
      </c>
      <c r="AA131" s="316">
        <v>0</v>
      </c>
    </row>
    <row r="132" spans="2:27" x14ac:dyDescent="0.3">
      <c r="B132" s="240" t="s">
        <v>1584</v>
      </c>
      <c r="C132" s="51" t="s">
        <v>1578</v>
      </c>
      <c r="D132" s="59" t="s">
        <v>1317</v>
      </c>
      <c r="E132" s="304" t="s">
        <v>1514</v>
      </c>
      <c r="F132" s="292">
        <v>3</v>
      </c>
      <c r="G132" s="419"/>
      <c r="H132" s="419"/>
      <c r="I132" s="419"/>
      <c r="J132" s="419"/>
      <c r="K132" s="419"/>
      <c r="L132" s="419"/>
      <c r="M132" s="1181">
        <v>0</v>
      </c>
      <c r="N132" s="1181">
        <v>0</v>
      </c>
      <c r="O132" s="1181">
        <v>0</v>
      </c>
      <c r="P132" s="1181">
        <v>0</v>
      </c>
      <c r="Q132" s="1181">
        <v>0</v>
      </c>
      <c r="R132" s="1181">
        <v>0</v>
      </c>
      <c r="S132" s="1181">
        <v>0</v>
      </c>
      <c r="T132" s="1181">
        <v>0</v>
      </c>
      <c r="U132" s="1181">
        <v>0</v>
      </c>
      <c r="V132" s="1181">
        <v>0</v>
      </c>
      <c r="W132" s="1181">
        <v>0</v>
      </c>
      <c r="X132" s="1181">
        <v>0</v>
      </c>
      <c r="Y132" s="1181">
        <v>0</v>
      </c>
      <c r="Z132" s="1181">
        <v>0</v>
      </c>
      <c r="AA132" s="1182">
        <v>0</v>
      </c>
    </row>
    <row r="133" spans="2:27" x14ac:dyDescent="0.3">
      <c r="B133" s="240" t="s">
        <v>1585</v>
      </c>
      <c r="C133" s="51" t="s">
        <v>1580</v>
      </c>
      <c r="D133" s="59" t="s">
        <v>1317</v>
      </c>
      <c r="E133" s="304" t="s">
        <v>1514</v>
      </c>
      <c r="F133" s="292">
        <v>3</v>
      </c>
      <c r="G133" s="419"/>
      <c r="H133" s="419"/>
      <c r="I133" s="419"/>
      <c r="J133" s="419"/>
      <c r="K133" s="419"/>
      <c r="L133" s="419"/>
      <c r="M133" s="1181">
        <v>0</v>
      </c>
      <c r="N133" s="1181">
        <v>0</v>
      </c>
      <c r="O133" s="1181">
        <v>0</v>
      </c>
      <c r="P133" s="1181">
        <v>0</v>
      </c>
      <c r="Q133" s="1181">
        <v>0</v>
      </c>
      <c r="R133" s="1181">
        <v>0</v>
      </c>
      <c r="S133" s="1181">
        <v>0</v>
      </c>
      <c r="T133" s="1181">
        <v>0</v>
      </c>
      <c r="U133" s="1181">
        <v>0</v>
      </c>
      <c r="V133" s="1181">
        <v>0</v>
      </c>
      <c r="W133" s="1181">
        <v>0</v>
      </c>
      <c r="X133" s="1181">
        <v>0</v>
      </c>
      <c r="Y133" s="1181">
        <v>0</v>
      </c>
      <c r="Z133" s="1181">
        <v>0</v>
      </c>
      <c r="AA133" s="1182">
        <v>0</v>
      </c>
    </row>
    <row r="134" spans="2:27" x14ac:dyDescent="0.3">
      <c r="B134" s="240" t="s">
        <v>1586</v>
      </c>
      <c r="C134" s="51" t="s">
        <v>1582</v>
      </c>
      <c r="D134" s="59" t="s">
        <v>1317</v>
      </c>
      <c r="E134" s="304" t="s">
        <v>1514</v>
      </c>
      <c r="F134" s="292">
        <v>3</v>
      </c>
      <c r="G134" s="419"/>
      <c r="H134" s="419"/>
      <c r="I134" s="419"/>
      <c r="J134" s="419"/>
      <c r="K134" s="419"/>
      <c r="L134" s="419"/>
      <c r="M134" s="1181">
        <v>0</v>
      </c>
      <c r="N134" s="1181">
        <v>0</v>
      </c>
      <c r="O134" s="1181">
        <v>0</v>
      </c>
      <c r="P134" s="1181">
        <v>0</v>
      </c>
      <c r="Q134" s="1181">
        <v>0</v>
      </c>
      <c r="R134" s="1181">
        <v>0</v>
      </c>
      <c r="S134" s="1181">
        <v>0</v>
      </c>
      <c r="T134" s="1181">
        <v>0</v>
      </c>
      <c r="U134" s="1181">
        <v>0</v>
      </c>
      <c r="V134" s="1181">
        <v>0</v>
      </c>
      <c r="W134" s="1181">
        <v>0</v>
      </c>
      <c r="X134" s="1181">
        <v>0</v>
      </c>
      <c r="Y134" s="1181">
        <v>0</v>
      </c>
      <c r="Z134" s="1181">
        <v>0</v>
      </c>
      <c r="AA134" s="1182">
        <v>0</v>
      </c>
    </row>
    <row r="135" spans="2:27" x14ac:dyDescent="0.3">
      <c r="B135" s="240" t="s">
        <v>1587</v>
      </c>
      <c r="C135" s="51" t="s">
        <v>1576</v>
      </c>
      <c r="D135" s="59" t="s">
        <v>1513</v>
      </c>
      <c r="E135" s="304" t="s">
        <v>1514</v>
      </c>
      <c r="F135" s="292">
        <v>3</v>
      </c>
      <c r="G135" s="313">
        <f t="shared" ref="G135:K135" si="39">SUM(G127, G131)</f>
        <v>0</v>
      </c>
      <c r="H135" s="313">
        <f t="shared" si="39"/>
        <v>0</v>
      </c>
      <c r="I135" s="313">
        <f t="shared" si="39"/>
        <v>0</v>
      </c>
      <c r="J135" s="313">
        <f t="shared" si="39"/>
        <v>0</v>
      </c>
      <c r="K135" s="313">
        <f t="shared" si="39"/>
        <v>0</v>
      </c>
      <c r="L135" s="313">
        <f>SUM(L127, L131)</f>
        <v>0</v>
      </c>
      <c r="M135" s="313">
        <f t="shared" ref="M135:AA135" si="40">SUM(M127, M131)</f>
        <v>0</v>
      </c>
      <c r="N135" s="313">
        <f t="shared" si="40"/>
        <v>0</v>
      </c>
      <c r="O135" s="313">
        <f t="shared" si="40"/>
        <v>0</v>
      </c>
      <c r="P135" s="313">
        <f t="shared" si="40"/>
        <v>0</v>
      </c>
      <c r="Q135" s="313">
        <f t="shared" si="40"/>
        <v>0</v>
      </c>
      <c r="R135" s="313">
        <f t="shared" si="40"/>
        <v>0</v>
      </c>
      <c r="S135" s="313">
        <f t="shared" si="40"/>
        <v>0</v>
      </c>
      <c r="T135" s="313">
        <f t="shared" si="40"/>
        <v>0</v>
      </c>
      <c r="U135" s="313">
        <f t="shared" si="40"/>
        <v>0</v>
      </c>
      <c r="V135" s="313">
        <f t="shared" si="40"/>
        <v>0</v>
      </c>
      <c r="W135" s="313">
        <f t="shared" si="40"/>
        <v>0</v>
      </c>
      <c r="X135" s="313">
        <f t="shared" si="40"/>
        <v>0</v>
      </c>
      <c r="Y135" s="313">
        <f t="shared" si="40"/>
        <v>0</v>
      </c>
      <c r="Z135" s="313">
        <f t="shared" si="40"/>
        <v>0</v>
      </c>
      <c r="AA135" s="313">
        <f t="shared" si="40"/>
        <v>0</v>
      </c>
    </row>
    <row r="136" spans="2:27" x14ac:dyDescent="0.3">
      <c r="B136" s="240" t="s">
        <v>1588</v>
      </c>
      <c r="C136" s="51" t="s">
        <v>1589</v>
      </c>
      <c r="D136" s="59" t="s">
        <v>1322</v>
      </c>
      <c r="E136" s="304" t="s">
        <v>1514</v>
      </c>
      <c r="F136" s="292">
        <v>3</v>
      </c>
      <c r="G136" s="421"/>
      <c r="H136" s="422"/>
      <c r="I136" s="422"/>
      <c r="J136" s="422"/>
      <c r="K136" s="422"/>
      <c r="L136" s="422"/>
      <c r="M136" s="315">
        <v>0.502</v>
      </c>
      <c r="N136" s="315">
        <v>0.502</v>
      </c>
      <c r="O136" s="315">
        <v>0.502</v>
      </c>
      <c r="P136" s="315">
        <v>0.502</v>
      </c>
      <c r="Q136" s="315">
        <v>0.502</v>
      </c>
      <c r="R136" s="315">
        <v>2.5099999999999998</v>
      </c>
      <c r="S136" s="315">
        <v>0</v>
      </c>
      <c r="T136" s="315">
        <v>0</v>
      </c>
      <c r="U136" s="315">
        <v>0</v>
      </c>
      <c r="V136" s="315">
        <v>0</v>
      </c>
      <c r="W136" s="315">
        <v>0</v>
      </c>
      <c r="X136" s="315">
        <v>0</v>
      </c>
      <c r="Y136" s="315">
        <v>0</v>
      </c>
      <c r="Z136" s="315">
        <v>0</v>
      </c>
      <c r="AA136" s="316">
        <v>0</v>
      </c>
    </row>
    <row r="137" spans="2:27" ht="28" x14ac:dyDescent="0.3">
      <c r="B137" s="240" t="s">
        <v>1590</v>
      </c>
      <c r="C137" s="51" t="s">
        <v>1591</v>
      </c>
      <c r="D137" s="59" t="s">
        <v>1322</v>
      </c>
      <c r="E137" s="304" t="s">
        <v>1514</v>
      </c>
      <c r="F137" s="292">
        <v>3</v>
      </c>
      <c r="G137" s="419"/>
      <c r="H137" s="419"/>
      <c r="I137" s="419"/>
      <c r="J137" s="419"/>
      <c r="K137" s="419"/>
      <c r="L137" s="419"/>
      <c r="M137" s="1181">
        <v>0</v>
      </c>
      <c r="N137" s="1181">
        <v>0</v>
      </c>
      <c r="O137" s="1181">
        <v>0</v>
      </c>
      <c r="P137" s="1181">
        <v>0</v>
      </c>
      <c r="Q137" s="1181">
        <v>0</v>
      </c>
      <c r="R137" s="1181">
        <v>0</v>
      </c>
      <c r="S137" s="1181">
        <v>0</v>
      </c>
      <c r="T137" s="1181">
        <v>0</v>
      </c>
      <c r="U137" s="1181">
        <v>0</v>
      </c>
      <c r="V137" s="1181">
        <v>0</v>
      </c>
      <c r="W137" s="1181">
        <v>0</v>
      </c>
      <c r="X137" s="1181">
        <v>0</v>
      </c>
      <c r="Y137" s="1181">
        <v>0</v>
      </c>
      <c r="Z137" s="1181">
        <v>0</v>
      </c>
      <c r="AA137" s="1181">
        <v>0</v>
      </c>
    </row>
    <row r="138" spans="2:27" ht="28" x14ac:dyDescent="0.3">
      <c r="B138" s="240" t="s">
        <v>1592</v>
      </c>
      <c r="C138" s="51" t="s">
        <v>1593</v>
      </c>
      <c r="D138" s="59" t="s">
        <v>1322</v>
      </c>
      <c r="E138" s="304" t="s">
        <v>1514</v>
      </c>
      <c r="F138" s="292">
        <v>3</v>
      </c>
      <c r="G138" s="419"/>
      <c r="H138" s="419"/>
      <c r="I138" s="419"/>
      <c r="J138" s="419"/>
      <c r="K138" s="419"/>
      <c r="L138" s="419"/>
      <c r="M138" s="1181">
        <v>0</v>
      </c>
      <c r="N138" s="1181">
        <v>0</v>
      </c>
      <c r="O138" s="1181">
        <v>0</v>
      </c>
      <c r="P138" s="1181">
        <v>0</v>
      </c>
      <c r="Q138" s="1181">
        <v>0</v>
      </c>
      <c r="R138" s="1181">
        <v>0</v>
      </c>
      <c r="S138" s="1181">
        <v>0</v>
      </c>
      <c r="T138" s="1181">
        <v>0</v>
      </c>
      <c r="U138" s="1181">
        <v>0</v>
      </c>
      <c r="V138" s="1181">
        <v>0</v>
      </c>
      <c r="W138" s="1181">
        <v>0</v>
      </c>
      <c r="X138" s="1181">
        <v>0</v>
      </c>
      <c r="Y138" s="1181">
        <v>0</v>
      </c>
      <c r="Z138" s="1181">
        <v>0</v>
      </c>
      <c r="AA138" s="1181">
        <v>0</v>
      </c>
    </row>
    <row r="139" spans="2:27" x14ac:dyDescent="0.3">
      <c r="B139" s="240" t="s">
        <v>1594</v>
      </c>
      <c r="C139" s="51" t="s">
        <v>1595</v>
      </c>
      <c r="D139" s="59" t="s">
        <v>1322</v>
      </c>
      <c r="E139" s="304" t="s">
        <v>1514</v>
      </c>
      <c r="F139" s="292">
        <v>3</v>
      </c>
      <c r="G139" s="419"/>
      <c r="H139" s="419"/>
      <c r="I139" s="419"/>
      <c r="J139" s="419"/>
      <c r="K139" s="419"/>
      <c r="L139" s="419"/>
      <c r="M139" s="315">
        <v>0.502</v>
      </c>
      <c r="N139" s="315">
        <v>0.502</v>
      </c>
      <c r="O139" s="315">
        <v>0.502</v>
      </c>
      <c r="P139" s="315">
        <v>0.502</v>
      </c>
      <c r="Q139" s="315">
        <v>0.502</v>
      </c>
      <c r="R139" s="315">
        <v>2.5099999999999998</v>
      </c>
      <c r="S139" s="1181">
        <v>0</v>
      </c>
      <c r="T139" s="1181">
        <v>0</v>
      </c>
      <c r="U139" s="1181">
        <v>0</v>
      </c>
      <c r="V139" s="1181">
        <v>0</v>
      </c>
      <c r="W139" s="1181">
        <v>0</v>
      </c>
      <c r="X139" s="1181">
        <v>0</v>
      </c>
      <c r="Y139" s="1181">
        <v>0</v>
      </c>
      <c r="Z139" s="1181">
        <v>0</v>
      </c>
      <c r="AA139" s="1181">
        <v>0</v>
      </c>
    </row>
    <row r="140" spans="2:27" x14ac:dyDescent="0.3">
      <c r="B140" s="240" t="s">
        <v>1596</v>
      </c>
      <c r="C140" s="51" t="s">
        <v>1589</v>
      </c>
      <c r="D140" s="59" t="s">
        <v>1317</v>
      </c>
      <c r="E140" s="304" t="s">
        <v>1514</v>
      </c>
      <c r="F140" s="292">
        <v>3</v>
      </c>
      <c r="G140" s="421"/>
      <c r="H140" s="422"/>
      <c r="I140" s="422"/>
      <c r="J140" s="422"/>
      <c r="K140" s="422"/>
      <c r="L140" s="422"/>
      <c r="M140" s="315">
        <v>0</v>
      </c>
      <c r="N140" s="315">
        <v>0</v>
      </c>
      <c r="O140" s="315">
        <v>0</v>
      </c>
      <c r="P140" s="315">
        <v>0</v>
      </c>
      <c r="Q140" s="315">
        <v>0</v>
      </c>
      <c r="R140" s="315">
        <v>0</v>
      </c>
      <c r="S140" s="315">
        <v>0</v>
      </c>
      <c r="T140" s="315">
        <v>0</v>
      </c>
      <c r="U140" s="315">
        <v>0</v>
      </c>
      <c r="V140" s="315">
        <v>0</v>
      </c>
      <c r="W140" s="315">
        <v>0</v>
      </c>
      <c r="X140" s="315">
        <v>0</v>
      </c>
      <c r="Y140" s="315">
        <v>0</v>
      </c>
      <c r="Z140" s="315">
        <v>0</v>
      </c>
      <c r="AA140" s="315">
        <v>0</v>
      </c>
    </row>
    <row r="141" spans="2:27" ht="28" x14ac:dyDescent="0.3">
      <c r="B141" s="240" t="s">
        <v>1597</v>
      </c>
      <c r="C141" s="51" t="s">
        <v>1591</v>
      </c>
      <c r="D141" s="59" t="s">
        <v>1317</v>
      </c>
      <c r="E141" s="304" t="s">
        <v>1514</v>
      </c>
      <c r="F141" s="292">
        <v>3</v>
      </c>
      <c r="G141" s="419"/>
      <c r="H141" s="419"/>
      <c r="I141" s="419"/>
      <c r="J141" s="419"/>
      <c r="K141" s="419"/>
      <c r="L141" s="419"/>
      <c r="M141" s="1181">
        <v>0</v>
      </c>
      <c r="N141" s="1181">
        <v>0</v>
      </c>
      <c r="O141" s="1181">
        <v>0</v>
      </c>
      <c r="P141" s="1181">
        <v>0</v>
      </c>
      <c r="Q141" s="1181">
        <v>0</v>
      </c>
      <c r="R141" s="1181">
        <v>0</v>
      </c>
      <c r="S141" s="1181">
        <v>0</v>
      </c>
      <c r="T141" s="1181">
        <v>0</v>
      </c>
      <c r="U141" s="1181">
        <v>0</v>
      </c>
      <c r="V141" s="1181">
        <v>0</v>
      </c>
      <c r="W141" s="1181">
        <v>0</v>
      </c>
      <c r="X141" s="1181">
        <v>0</v>
      </c>
      <c r="Y141" s="1181">
        <v>0</v>
      </c>
      <c r="Z141" s="1181">
        <v>0</v>
      </c>
      <c r="AA141" s="1181">
        <v>0</v>
      </c>
    </row>
    <row r="142" spans="2:27" ht="28" x14ac:dyDescent="0.3">
      <c r="B142" s="240" t="s">
        <v>1598</v>
      </c>
      <c r="C142" s="51" t="s">
        <v>1599</v>
      </c>
      <c r="D142" s="59" t="s">
        <v>1317</v>
      </c>
      <c r="E142" s="304" t="s">
        <v>1514</v>
      </c>
      <c r="F142" s="292">
        <v>3</v>
      </c>
      <c r="G142" s="419"/>
      <c r="H142" s="419"/>
      <c r="I142" s="419"/>
      <c r="J142" s="419"/>
      <c r="K142" s="419"/>
      <c r="L142" s="419"/>
      <c r="M142" s="1181">
        <v>0</v>
      </c>
      <c r="N142" s="1181">
        <v>0</v>
      </c>
      <c r="O142" s="1181">
        <v>0</v>
      </c>
      <c r="P142" s="1181">
        <v>0</v>
      </c>
      <c r="Q142" s="1181">
        <v>0</v>
      </c>
      <c r="R142" s="1181">
        <v>0</v>
      </c>
      <c r="S142" s="1181">
        <v>0</v>
      </c>
      <c r="T142" s="1181">
        <v>0</v>
      </c>
      <c r="U142" s="1181">
        <v>0</v>
      </c>
      <c r="V142" s="1181">
        <v>0</v>
      </c>
      <c r="W142" s="1181">
        <v>0</v>
      </c>
      <c r="X142" s="1181">
        <v>0</v>
      </c>
      <c r="Y142" s="1181">
        <v>0</v>
      </c>
      <c r="Z142" s="1181">
        <v>0</v>
      </c>
      <c r="AA142" s="1181">
        <v>0</v>
      </c>
    </row>
    <row r="143" spans="2:27" x14ac:dyDescent="0.3">
      <c r="B143" s="240" t="s">
        <v>1600</v>
      </c>
      <c r="C143" s="51" t="s">
        <v>1595</v>
      </c>
      <c r="D143" s="59" t="s">
        <v>1317</v>
      </c>
      <c r="E143" s="304" t="s">
        <v>1514</v>
      </c>
      <c r="F143" s="292">
        <v>3</v>
      </c>
      <c r="G143" s="419"/>
      <c r="H143" s="419"/>
      <c r="I143" s="419"/>
      <c r="J143" s="419"/>
      <c r="K143" s="419"/>
      <c r="L143" s="419"/>
      <c r="M143" s="315">
        <v>0</v>
      </c>
      <c r="N143" s="315">
        <v>0</v>
      </c>
      <c r="O143" s="315">
        <v>0</v>
      </c>
      <c r="P143" s="315">
        <v>0</v>
      </c>
      <c r="Q143" s="315">
        <v>0</v>
      </c>
      <c r="R143" s="315">
        <v>0</v>
      </c>
      <c r="S143" s="1181">
        <v>0</v>
      </c>
      <c r="T143" s="1181">
        <v>0</v>
      </c>
      <c r="U143" s="1181">
        <v>0</v>
      </c>
      <c r="V143" s="1181">
        <v>0</v>
      </c>
      <c r="W143" s="1181">
        <v>0</v>
      </c>
      <c r="X143" s="1181">
        <v>0</v>
      </c>
      <c r="Y143" s="1181">
        <v>0</v>
      </c>
      <c r="Z143" s="1181">
        <v>0</v>
      </c>
      <c r="AA143" s="1181">
        <v>0</v>
      </c>
    </row>
    <row r="144" spans="2:27" x14ac:dyDescent="0.3">
      <c r="B144" s="240" t="s">
        <v>1601</v>
      </c>
      <c r="C144" s="51" t="s">
        <v>1589</v>
      </c>
      <c r="D144" s="59" t="s">
        <v>1513</v>
      </c>
      <c r="E144" s="304" t="s">
        <v>1514</v>
      </c>
      <c r="F144" s="292">
        <v>3</v>
      </c>
      <c r="G144" s="313">
        <f t="shared" ref="G144:K144" si="41">SUM(G136,G140)</f>
        <v>0</v>
      </c>
      <c r="H144" s="313">
        <f t="shared" si="41"/>
        <v>0</v>
      </c>
      <c r="I144" s="313">
        <f t="shared" si="41"/>
        <v>0</v>
      </c>
      <c r="J144" s="313">
        <f t="shared" si="41"/>
        <v>0</v>
      </c>
      <c r="K144" s="313">
        <f t="shared" si="41"/>
        <v>0</v>
      </c>
      <c r="L144" s="313">
        <f>SUM(L136,L140)</f>
        <v>0</v>
      </c>
      <c r="M144" s="313">
        <f t="shared" ref="M144:AA144" si="42">SUM(M136,M140)</f>
        <v>0.502</v>
      </c>
      <c r="N144" s="313">
        <f t="shared" si="42"/>
        <v>0.502</v>
      </c>
      <c r="O144" s="313">
        <f t="shared" si="42"/>
        <v>0.502</v>
      </c>
      <c r="P144" s="313">
        <f t="shared" si="42"/>
        <v>0.502</v>
      </c>
      <c r="Q144" s="313">
        <f t="shared" si="42"/>
        <v>0.502</v>
      </c>
      <c r="R144" s="313">
        <f t="shared" si="42"/>
        <v>2.5099999999999998</v>
      </c>
      <c r="S144" s="313">
        <f t="shared" si="42"/>
        <v>0</v>
      </c>
      <c r="T144" s="313">
        <f t="shared" si="42"/>
        <v>0</v>
      </c>
      <c r="U144" s="313">
        <f t="shared" si="42"/>
        <v>0</v>
      </c>
      <c r="V144" s="313">
        <f t="shared" si="42"/>
        <v>0</v>
      </c>
      <c r="W144" s="313">
        <f t="shared" si="42"/>
        <v>0</v>
      </c>
      <c r="X144" s="313">
        <f t="shared" si="42"/>
        <v>0</v>
      </c>
      <c r="Y144" s="313">
        <f t="shared" si="42"/>
        <v>0</v>
      </c>
      <c r="Z144" s="313">
        <f t="shared" si="42"/>
        <v>0</v>
      </c>
      <c r="AA144" s="313">
        <f t="shared" si="42"/>
        <v>0</v>
      </c>
    </row>
    <row r="145" spans="2:27" x14ac:dyDescent="0.3">
      <c r="B145" s="240" t="s">
        <v>1602</v>
      </c>
      <c r="C145" s="51" t="s">
        <v>1603</v>
      </c>
      <c r="D145" s="59" t="s">
        <v>1322</v>
      </c>
      <c r="E145" s="304" t="s">
        <v>1514</v>
      </c>
      <c r="F145" s="292">
        <v>3</v>
      </c>
      <c r="G145" s="421"/>
      <c r="H145" s="422"/>
      <c r="I145" s="422"/>
      <c r="J145" s="422"/>
      <c r="K145" s="422"/>
      <c r="L145" s="422"/>
      <c r="M145" s="315">
        <v>0.30199999999999999</v>
      </c>
      <c r="N145" s="315">
        <v>0.30199999999999999</v>
      </c>
      <c r="O145" s="315">
        <v>0.30199999999999999</v>
      </c>
      <c r="P145" s="315">
        <v>0.30199999999999999</v>
      </c>
      <c r="Q145" s="315">
        <v>0.30199999999999999</v>
      </c>
      <c r="R145" s="315">
        <v>0</v>
      </c>
      <c r="S145" s="315">
        <v>0</v>
      </c>
      <c r="T145" s="315">
        <v>0</v>
      </c>
      <c r="U145" s="315">
        <v>0</v>
      </c>
      <c r="V145" s="315">
        <v>0</v>
      </c>
      <c r="W145" s="315">
        <v>0</v>
      </c>
      <c r="X145" s="315">
        <v>0</v>
      </c>
      <c r="Y145" s="315">
        <v>0</v>
      </c>
      <c r="Z145" s="315">
        <v>0</v>
      </c>
      <c r="AA145" s="315">
        <v>0</v>
      </c>
    </row>
    <row r="146" spans="2:27" x14ac:dyDescent="0.3">
      <c r="B146" s="240" t="s">
        <v>1604</v>
      </c>
      <c r="C146" s="51" t="s">
        <v>1605</v>
      </c>
      <c r="D146" s="59" t="s">
        <v>1322</v>
      </c>
      <c r="E146" s="304" t="s">
        <v>1514</v>
      </c>
      <c r="F146" s="292">
        <v>3</v>
      </c>
      <c r="G146" s="419"/>
      <c r="H146" s="419"/>
      <c r="I146" s="419"/>
      <c r="J146" s="419"/>
      <c r="K146" s="419"/>
      <c r="L146" s="419"/>
      <c r="M146" s="1181">
        <v>0</v>
      </c>
      <c r="N146" s="1181">
        <v>0</v>
      </c>
      <c r="O146" s="1181">
        <v>0</v>
      </c>
      <c r="P146" s="1181">
        <v>0</v>
      </c>
      <c r="Q146" s="1181">
        <v>0</v>
      </c>
      <c r="R146" s="1181">
        <v>0</v>
      </c>
      <c r="S146" s="315">
        <v>0</v>
      </c>
      <c r="T146" s="315">
        <v>0</v>
      </c>
      <c r="U146" s="315">
        <v>0</v>
      </c>
      <c r="V146" s="315">
        <v>0</v>
      </c>
      <c r="W146" s="315">
        <v>0</v>
      </c>
      <c r="X146" s="315">
        <v>0</v>
      </c>
      <c r="Y146" s="315">
        <v>0</v>
      </c>
      <c r="Z146" s="315">
        <v>0</v>
      </c>
      <c r="AA146" s="315">
        <v>0</v>
      </c>
    </row>
    <row r="147" spans="2:27" x14ac:dyDescent="0.3">
      <c r="B147" s="240" t="s">
        <v>1606</v>
      </c>
      <c r="C147" s="51" t="s">
        <v>1607</v>
      </c>
      <c r="D147" s="59" t="s">
        <v>1322</v>
      </c>
      <c r="E147" s="304" t="s">
        <v>1514</v>
      </c>
      <c r="F147" s="292">
        <v>3</v>
      </c>
      <c r="G147" s="419"/>
      <c r="H147" s="419"/>
      <c r="I147" s="419"/>
      <c r="J147" s="419"/>
      <c r="K147" s="419"/>
      <c r="L147" s="419"/>
      <c r="M147" s="1181">
        <v>0</v>
      </c>
      <c r="N147" s="1181">
        <v>0</v>
      </c>
      <c r="O147" s="1181">
        <v>0</v>
      </c>
      <c r="P147" s="1181">
        <v>0</v>
      </c>
      <c r="Q147" s="1181">
        <v>0</v>
      </c>
      <c r="R147" s="1181">
        <v>0</v>
      </c>
      <c r="S147" s="315">
        <v>0</v>
      </c>
      <c r="T147" s="315">
        <v>0</v>
      </c>
      <c r="U147" s="315">
        <v>0</v>
      </c>
      <c r="V147" s="315">
        <v>0</v>
      </c>
      <c r="W147" s="315">
        <v>0</v>
      </c>
      <c r="X147" s="315">
        <v>0</v>
      </c>
      <c r="Y147" s="315">
        <v>0</v>
      </c>
      <c r="Z147" s="315">
        <v>0</v>
      </c>
      <c r="AA147" s="315">
        <v>0</v>
      </c>
    </row>
    <row r="148" spans="2:27" x14ac:dyDescent="0.3">
      <c r="B148" s="240" t="s">
        <v>1608</v>
      </c>
      <c r="C148" s="51" t="s">
        <v>1609</v>
      </c>
      <c r="D148" s="59" t="s">
        <v>1322</v>
      </c>
      <c r="E148" s="304" t="s">
        <v>1514</v>
      </c>
      <c r="F148" s="292">
        <v>3</v>
      </c>
      <c r="G148" s="419"/>
      <c r="H148" s="419"/>
      <c r="I148" s="419"/>
      <c r="J148" s="419"/>
      <c r="K148" s="419"/>
      <c r="L148" s="419"/>
      <c r="M148" s="315">
        <v>0.30199999999999999</v>
      </c>
      <c r="N148" s="315">
        <v>0.30199999999999999</v>
      </c>
      <c r="O148" s="315">
        <v>0.30199999999999999</v>
      </c>
      <c r="P148" s="315">
        <v>0.30199999999999999</v>
      </c>
      <c r="Q148" s="315">
        <v>0.30199999999999999</v>
      </c>
      <c r="R148" s="315">
        <v>0</v>
      </c>
      <c r="S148" s="315">
        <v>0</v>
      </c>
      <c r="T148" s="315">
        <v>0</v>
      </c>
      <c r="U148" s="315">
        <v>0</v>
      </c>
      <c r="V148" s="315">
        <v>0</v>
      </c>
      <c r="W148" s="315">
        <v>0</v>
      </c>
      <c r="X148" s="315">
        <v>0</v>
      </c>
      <c r="Y148" s="315">
        <v>0</v>
      </c>
      <c r="Z148" s="315">
        <v>0</v>
      </c>
      <c r="AA148" s="315">
        <v>0</v>
      </c>
    </row>
    <row r="149" spans="2:27" x14ac:dyDescent="0.3">
      <c r="B149" s="240" t="s">
        <v>1610</v>
      </c>
      <c r="C149" s="51" t="s">
        <v>1603</v>
      </c>
      <c r="D149" s="59" t="s">
        <v>1317</v>
      </c>
      <c r="E149" s="304" t="s">
        <v>1514</v>
      </c>
      <c r="F149" s="292">
        <v>3</v>
      </c>
      <c r="G149" s="421"/>
      <c r="H149" s="422"/>
      <c r="I149" s="422"/>
      <c r="J149" s="422"/>
      <c r="K149" s="422"/>
      <c r="L149" s="422"/>
      <c r="M149" s="1181">
        <v>0</v>
      </c>
      <c r="N149" s="1181">
        <v>0</v>
      </c>
      <c r="O149" s="1181">
        <v>0</v>
      </c>
      <c r="P149" s="1181">
        <v>0</v>
      </c>
      <c r="Q149" s="1181">
        <v>0</v>
      </c>
      <c r="R149" s="1181">
        <v>0</v>
      </c>
      <c r="S149" s="315">
        <v>0</v>
      </c>
      <c r="T149" s="315">
        <v>0</v>
      </c>
      <c r="U149" s="315">
        <v>0</v>
      </c>
      <c r="V149" s="315">
        <v>0</v>
      </c>
      <c r="W149" s="315">
        <v>0</v>
      </c>
      <c r="X149" s="315">
        <v>0</v>
      </c>
      <c r="Y149" s="315">
        <v>0</v>
      </c>
      <c r="Z149" s="315">
        <v>0</v>
      </c>
      <c r="AA149" s="315">
        <v>0</v>
      </c>
    </row>
    <row r="150" spans="2:27" x14ac:dyDescent="0.3">
      <c r="B150" s="240" t="s">
        <v>1611</v>
      </c>
      <c r="C150" s="51" t="s">
        <v>1605</v>
      </c>
      <c r="D150" s="59" t="s">
        <v>1317</v>
      </c>
      <c r="E150" s="304" t="s">
        <v>1514</v>
      </c>
      <c r="F150" s="292">
        <v>3</v>
      </c>
      <c r="G150" s="419"/>
      <c r="H150" s="419"/>
      <c r="I150" s="419"/>
      <c r="J150" s="419"/>
      <c r="K150" s="419"/>
      <c r="L150" s="419"/>
      <c r="M150" s="1181">
        <v>0</v>
      </c>
      <c r="N150" s="1181">
        <v>0</v>
      </c>
      <c r="O150" s="1181">
        <v>0</v>
      </c>
      <c r="P150" s="1181">
        <v>0</v>
      </c>
      <c r="Q150" s="1181">
        <v>0</v>
      </c>
      <c r="R150" s="1181">
        <v>0</v>
      </c>
      <c r="S150" s="315">
        <v>0</v>
      </c>
      <c r="T150" s="315">
        <v>0</v>
      </c>
      <c r="U150" s="315">
        <v>0</v>
      </c>
      <c r="V150" s="315">
        <v>0</v>
      </c>
      <c r="W150" s="315">
        <v>0</v>
      </c>
      <c r="X150" s="315">
        <v>0</v>
      </c>
      <c r="Y150" s="315">
        <v>0</v>
      </c>
      <c r="Z150" s="315">
        <v>0</v>
      </c>
      <c r="AA150" s="315">
        <v>0</v>
      </c>
    </row>
    <row r="151" spans="2:27" x14ac:dyDescent="0.3">
      <c r="B151" s="240" t="s">
        <v>1612</v>
      </c>
      <c r="C151" s="51" t="s">
        <v>1607</v>
      </c>
      <c r="D151" s="59" t="s">
        <v>1317</v>
      </c>
      <c r="E151" s="304" t="s">
        <v>1514</v>
      </c>
      <c r="F151" s="292">
        <v>3</v>
      </c>
      <c r="G151" s="419"/>
      <c r="H151" s="419"/>
      <c r="I151" s="419"/>
      <c r="J151" s="419"/>
      <c r="K151" s="419"/>
      <c r="L151" s="419"/>
      <c r="M151" s="1181">
        <v>0</v>
      </c>
      <c r="N151" s="1181">
        <v>0</v>
      </c>
      <c r="O151" s="1181">
        <v>0</v>
      </c>
      <c r="P151" s="1181">
        <v>0</v>
      </c>
      <c r="Q151" s="1181">
        <v>0</v>
      </c>
      <c r="R151" s="1181">
        <v>0</v>
      </c>
      <c r="S151" s="315">
        <v>0</v>
      </c>
      <c r="T151" s="315">
        <v>0</v>
      </c>
      <c r="U151" s="315">
        <v>0</v>
      </c>
      <c r="V151" s="315">
        <v>0</v>
      </c>
      <c r="W151" s="315">
        <v>0</v>
      </c>
      <c r="X151" s="315">
        <v>0</v>
      </c>
      <c r="Y151" s="315">
        <v>0</v>
      </c>
      <c r="Z151" s="315">
        <v>0</v>
      </c>
      <c r="AA151" s="315">
        <v>0</v>
      </c>
    </row>
    <row r="152" spans="2:27" x14ac:dyDescent="0.3">
      <c r="B152" s="240" t="s">
        <v>1613</v>
      </c>
      <c r="C152" s="51" t="s">
        <v>1609</v>
      </c>
      <c r="D152" s="59" t="s">
        <v>1317</v>
      </c>
      <c r="E152" s="304" t="s">
        <v>1514</v>
      </c>
      <c r="F152" s="292">
        <v>3</v>
      </c>
      <c r="G152" s="419"/>
      <c r="H152" s="419"/>
      <c r="I152" s="419"/>
      <c r="J152" s="419"/>
      <c r="K152" s="419"/>
      <c r="L152" s="419"/>
      <c r="M152" s="1181">
        <v>0</v>
      </c>
      <c r="N152" s="1181">
        <v>0</v>
      </c>
      <c r="O152" s="1181">
        <v>0</v>
      </c>
      <c r="P152" s="1181">
        <v>0</v>
      </c>
      <c r="Q152" s="1181">
        <v>0</v>
      </c>
      <c r="R152" s="1181">
        <v>0</v>
      </c>
      <c r="S152" s="315">
        <v>0</v>
      </c>
      <c r="T152" s="315">
        <v>0</v>
      </c>
      <c r="U152" s="315">
        <v>0</v>
      </c>
      <c r="V152" s="315">
        <v>0</v>
      </c>
      <c r="W152" s="315">
        <v>0</v>
      </c>
      <c r="X152" s="315">
        <v>0</v>
      </c>
      <c r="Y152" s="315">
        <v>0</v>
      </c>
      <c r="Z152" s="315">
        <v>0</v>
      </c>
      <c r="AA152" s="315">
        <v>0</v>
      </c>
    </row>
    <row r="153" spans="2:27" x14ac:dyDescent="0.3">
      <c r="B153" s="240" t="s">
        <v>1614</v>
      </c>
      <c r="C153" s="51" t="s">
        <v>1605</v>
      </c>
      <c r="D153" s="59" t="s">
        <v>1513</v>
      </c>
      <c r="E153" s="304" t="s">
        <v>1514</v>
      </c>
      <c r="F153" s="292">
        <v>3</v>
      </c>
      <c r="G153" s="313">
        <f t="shared" ref="G153:K153" si="43">SUM(G145,G149)</f>
        <v>0</v>
      </c>
      <c r="H153" s="313">
        <f t="shared" si="43"/>
        <v>0</v>
      </c>
      <c r="I153" s="313">
        <f t="shared" si="43"/>
        <v>0</v>
      </c>
      <c r="J153" s="313">
        <f t="shared" si="43"/>
        <v>0</v>
      </c>
      <c r="K153" s="313">
        <f t="shared" si="43"/>
        <v>0</v>
      </c>
      <c r="L153" s="313">
        <f>SUM(L145,L149)</f>
        <v>0</v>
      </c>
      <c r="M153" s="313">
        <f t="shared" ref="M153:AA153" si="44">SUM(M145,M149)</f>
        <v>0.30199999999999999</v>
      </c>
      <c r="N153" s="313">
        <f t="shared" si="44"/>
        <v>0.30199999999999999</v>
      </c>
      <c r="O153" s="313">
        <f t="shared" si="44"/>
        <v>0.30199999999999999</v>
      </c>
      <c r="P153" s="313">
        <f t="shared" si="44"/>
        <v>0.30199999999999999</v>
      </c>
      <c r="Q153" s="313">
        <f t="shared" si="44"/>
        <v>0.30199999999999999</v>
      </c>
      <c r="R153" s="313">
        <f t="shared" si="44"/>
        <v>0</v>
      </c>
      <c r="S153" s="313">
        <f t="shared" si="44"/>
        <v>0</v>
      </c>
      <c r="T153" s="313">
        <f t="shared" si="44"/>
        <v>0</v>
      </c>
      <c r="U153" s="313">
        <f t="shared" si="44"/>
        <v>0</v>
      </c>
      <c r="V153" s="313">
        <f t="shared" si="44"/>
        <v>0</v>
      </c>
      <c r="W153" s="313">
        <f t="shared" si="44"/>
        <v>0</v>
      </c>
      <c r="X153" s="313">
        <f t="shared" si="44"/>
        <v>0</v>
      </c>
      <c r="Y153" s="313">
        <f t="shared" si="44"/>
        <v>0</v>
      </c>
      <c r="Z153" s="313">
        <f t="shared" si="44"/>
        <v>0</v>
      </c>
      <c r="AA153" s="313">
        <f t="shared" si="44"/>
        <v>0</v>
      </c>
    </row>
    <row r="154" spans="2:27" x14ac:dyDescent="0.3">
      <c r="B154" s="240" t="s">
        <v>1615</v>
      </c>
      <c r="C154" s="51" t="s">
        <v>1616</v>
      </c>
      <c r="D154" s="59" t="s">
        <v>1322</v>
      </c>
      <c r="E154" s="304" t="s">
        <v>1514</v>
      </c>
      <c r="F154" s="292">
        <v>3</v>
      </c>
      <c r="G154" s="419"/>
      <c r="H154" s="419"/>
      <c r="I154" s="419"/>
      <c r="J154" s="419"/>
      <c r="K154" s="419"/>
      <c r="L154" s="419"/>
      <c r="M154" s="1181">
        <v>0</v>
      </c>
      <c r="N154" s="1181">
        <v>0</v>
      </c>
      <c r="O154" s="1181">
        <v>0</v>
      </c>
      <c r="P154" s="1181">
        <v>0</v>
      </c>
      <c r="Q154" s="1181">
        <v>0</v>
      </c>
      <c r="R154" s="1181">
        <v>0</v>
      </c>
      <c r="S154" s="1181">
        <v>0</v>
      </c>
      <c r="T154" s="1181">
        <v>0</v>
      </c>
      <c r="U154" s="1181">
        <v>0</v>
      </c>
      <c r="V154" s="1181">
        <v>0</v>
      </c>
      <c r="W154" s="1181">
        <v>0</v>
      </c>
      <c r="X154" s="1181">
        <v>0</v>
      </c>
      <c r="Y154" s="1181">
        <v>0</v>
      </c>
      <c r="Z154" s="1181">
        <v>0</v>
      </c>
      <c r="AA154" s="1181">
        <v>0</v>
      </c>
    </row>
    <row r="155" spans="2:27" x14ac:dyDescent="0.3">
      <c r="B155" s="240" t="s">
        <v>1617</v>
      </c>
      <c r="C155" s="51" t="s">
        <v>1618</v>
      </c>
      <c r="D155" s="59" t="s">
        <v>1322</v>
      </c>
      <c r="E155" s="304" t="s">
        <v>1514</v>
      </c>
      <c r="F155" s="292">
        <v>3</v>
      </c>
      <c r="G155" s="419"/>
      <c r="H155" s="419"/>
      <c r="I155" s="419"/>
      <c r="J155" s="419"/>
      <c r="K155" s="419"/>
      <c r="L155" s="419"/>
      <c r="M155" s="1181">
        <v>0</v>
      </c>
      <c r="N155" s="1181">
        <v>0</v>
      </c>
      <c r="O155" s="1181">
        <v>0</v>
      </c>
      <c r="P155" s="1181">
        <v>0</v>
      </c>
      <c r="Q155" s="1181">
        <v>0</v>
      </c>
      <c r="R155" s="1181">
        <v>0</v>
      </c>
      <c r="S155" s="1181">
        <v>0</v>
      </c>
      <c r="T155" s="1181">
        <v>0</v>
      </c>
      <c r="U155" s="1181">
        <v>0</v>
      </c>
      <c r="V155" s="1181">
        <v>0</v>
      </c>
      <c r="W155" s="1181">
        <v>0</v>
      </c>
      <c r="X155" s="1181">
        <v>0</v>
      </c>
      <c r="Y155" s="1181">
        <v>0</v>
      </c>
      <c r="Z155" s="1181">
        <v>0</v>
      </c>
      <c r="AA155" s="1181">
        <v>0</v>
      </c>
    </row>
    <row r="156" spans="2:27" x14ac:dyDescent="0.3">
      <c r="B156" s="240" t="s">
        <v>1619</v>
      </c>
      <c r="C156" s="51" t="s">
        <v>1620</v>
      </c>
      <c r="D156" s="59" t="s">
        <v>1322</v>
      </c>
      <c r="E156" s="304" t="s">
        <v>1514</v>
      </c>
      <c r="F156" s="292">
        <v>3</v>
      </c>
      <c r="G156" s="419"/>
      <c r="H156" s="419"/>
      <c r="I156" s="419"/>
      <c r="J156" s="419"/>
      <c r="K156" s="419"/>
      <c r="L156" s="419"/>
      <c r="M156" s="1181">
        <v>0.186</v>
      </c>
      <c r="N156" s="1181">
        <v>0.186</v>
      </c>
      <c r="O156" s="1181">
        <v>0.186</v>
      </c>
      <c r="P156" s="1181">
        <v>0.186</v>
      </c>
      <c r="Q156" s="1181">
        <v>0.186</v>
      </c>
      <c r="R156" s="1181">
        <v>0</v>
      </c>
      <c r="S156" s="1181">
        <v>0</v>
      </c>
      <c r="T156" s="1181">
        <v>0</v>
      </c>
      <c r="U156" s="1181">
        <v>0</v>
      </c>
      <c r="V156" s="1181">
        <v>0</v>
      </c>
      <c r="W156" s="1181">
        <v>0</v>
      </c>
      <c r="X156" s="1181">
        <v>0</v>
      </c>
      <c r="Y156" s="1181">
        <v>0</v>
      </c>
      <c r="Z156" s="1181">
        <v>0</v>
      </c>
      <c r="AA156" s="1181">
        <v>0</v>
      </c>
    </row>
    <row r="157" spans="2:27" x14ac:dyDescent="0.3">
      <c r="B157" s="240" t="s">
        <v>1621</v>
      </c>
      <c r="C157" s="51" t="s">
        <v>1616</v>
      </c>
      <c r="D157" s="59" t="s">
        <v>1317</v>
      </c>
      <c r="E157" s="304" t="s">
        <v>1514</v>
      </c>
      <c r="F157" s="292">
        <v>3</v>
      </c>
      <c r="G157" s="419"/>
      <c r="H157" s="419"/>
      <c r="I157" s="419"/>
      <c r="J157" s="419"/>
      <c r="K157" s="419"/>
      <c r="L157" s="419"/>
      <c r="M157" s="1181">
        <v>0</v>
      </c>
      <c r="N157" s="1181">
        <v>0</v>
      </c>
      <c r="O157" s="1181">
        <v>0</v>
      </c>
      <c r="P157" s="1181">
        <v>0</v>
      </c>
      <c r="Q157" s="1181">
        <v>0</v>
      </c>
      <c r="R157" s="1181">
        <v>0</v>
      </c>
      <c r="S157" s="1181">
        <v>0</v>
      </c>
      <c r="T157" s="1181">
        <v>0</v>
      </c>
      <c r="U157" s="1181">
        <v>0</v>
      </c>
      <c r="V157" s="1181">
        <v>0</v>
      </c>
      <c r="W157" s="1181">
        <v>0</v>
      </c>
      <c r="X157" s="1181">
        <v>0</v>
      </c>
      <c r="Y157" s="1181">
        <v>0</v>
      </c>
      <c r="Z157" s="1181">
        <v>0</v>
      </c>
      <c r="AA157" s="1181">
        <v>0</v>
      </c>
    </row>
    <row r="158" spans="2:27" x14ac:dyDescent="0.3">
      <c r="B158" s="240" t="s">
        <v>1622</v>
      </c>
      <c r="C158" s="51" t="s">
        <v>1618</v>
      </c>
      <c r="D158" s="59" t="s">
        <v>1317</v>
      </c>
      <c r="E158" s="304" t="s">
        <v>1514</v>
      </c>
      <c r="F158" s="292">
        <v>3</v>
      </c>
      <c r="G158" s="419"/>
      <c r="H158" s="419"/>
      <c r="I158" s="419"/>
      <c r="J158" s="419"/>
      <c r="K158" s="419"/>
      <c r="L158" s="419"/>
      <c r="M158" s="1181">
        <v>0</v>
      </c>
      <c r="N158" s="1181">
        <v>0</v>
      </c>
      <c r="O158" s="1181">
        <v>0</v>
      </c>
      <c r="P158" s="1181">
        <v>0</v>
      </c>
      <c r="Q158" s="1181">
        <v>0</v>
      </c>
      <c r="R158" s="1181">
        <v>0</v>
      </c>
      <c r="S158" s="1181">
        <v>0</v>
      </c>
      <c r="T158" s="1181">
        <v>0</v>
      </c>
      <c r="U158" s="1181">
        <v>0</v>
      </c>
      <c r="V158" s="1181">
        <v>0</v>
      </c>
      <c r="W158" s="1181">
        <v>0</v>
      </c>
      <c r="X158" s="1181">
        <v>0</v>
      </c>
      <c r="Y158" s="1181">
        <v>0</v>
      </c>
      <c r="Z158" s="1181">
        <v>0</v>
      </c>
      <c r="AA158" s="1181">
        <v>0</v>
      </c>
    </row>
    <row r="159" spans="2:27" x14ac:dyDescent="0.3">
      <c r="B159" s="240" t="s">
        <v>1623</v>
      </c>
      <c r="C159" s="51" t="s">
        <v>1620</v>
      </c>
      <c r="D159" s="59" t="s">
        <v>1317</v>
      </c>
      <c r="E159" s="304" t="s">
        <v>1514</v>
      </c>
      <c r="F159" s="292">
        <v>3</v>
      </c>
      <c r="G159" s="419"/>
      <c r="H159" s="419"/>
      <c r="I159" s="419"/>
      <c r="J159" s="419"/>
      <c r="K159" s="419"/>
      <c r="L159" s="419"/>
      <c r="M159" s="1181">
        <v>0</v>
      </c>
      <c r="N159" s="1181">
        <v>0</v>
      </c>
      <c r="O159" s="1181">
        <v>0</v>
      </c>
      <c r="P159" s="1181">
        <v>0</v>
      </c>
      <c r="Q159" s="1181">
        <v>0</v>
      </c>
      <c r="R159" s="1181">
        <v>0</v>
      </c>
      <c r="S159" s="1181">
        <v>0</v>
      </c>
      <c r="T159" s="1181">
        <v>0</v>
      </c>
      <c r="U159" s="1181">
        <v>0</v>
      </c>
      <c r="V159" s="1181">
        <v>0</v>
      </c>
      <c r="W159" s="1181">
        <v>0</v>
      </c>
      <c r="X159" s="1181">
        <v>0</v>
      </c>
      <c r="Y159" s="1181">
        <v>0</v>
      </c>
      <c r="Z159" s="1181">
        <v>0</v>
      </c>
      <c r="AA159" s="1181">
        <v>0</v>
      </c>
    </row>
    <row r="160" spans="2:27" x14ac:dyDescent="0.3">
      <c r="B160" s="240" t="s">
        <v>1624</v>
      </c>
      <c r="C160" s="51" t="s">
        <v>1616</v>
      </c>
      <c r="D160" s="59" t="s">
        <v>1513</v>
      </c>
      <c r="E160" s="304" t="s">
        <v>1514</v>
      </c>
      <c r="F160" s="292">
        <v>3</v>
      </c>
      <c r="G160" s="313">
        <f>SUM(G154,G157)</f>
        <v>0</v>
      </c>
      <c r="H160" s="313">
        <f t="shared" ref="H160:AA160" si="45">SUM(H154,H157)</f>
        <v>0</v>
      </c>
      <c r="I160" s="313">
        <f t="shared" si="45"/>
        <v>0</v>
      </c>
      <c r="J160" s="313">
        <f t="shared" si="45"/>
        <v>0</v>
      </c>
      <c r="K160" s="313">
        <f t="shared" si="45"/>
        <v>0</v>
      </c>
      <c r="L160" s="313">
        <f t="shared" si="45"/>
        <v>0</v>
      </c>
      <c r="M160" s="313">
        <f t="shared" si="45"/>
        <v>0</v>
      </c>
      <c r="N160" s="313">
        <f t="shared" si="45"/>
        <v>0</v>
      </c>
      <c r="O160" s="313">
        <f t="shared" si="45"/>
        <v>0</v>
      </c>
      <c r="P160" s="313">
        <f t="shared" si="45"/>
        <v>0</v>
      </c>
      <c r="Q160" s="313">
        <f t="shared" si="45"/>
        <v>0</v>
      </c>
      <c r="R160" s="313">
        <f t="shared" si="45"/>
        <v>0</v>
      </c>
      <c r="S160" s="313">
        <f t="shared" si="45"/>
        <v>0</v>
      </c>
      <c r="T160" s="313">
        <f t="shared" si="45"/>
        <v>0</v>
      </c>
      <c r="U160" s="313">
        <f t="shared" si="45"/>
        <v>0</v>
      </c>
      <c r="V160" s="313">
        <f t="shared" si="45"/>
        <v>0</v>
      </c>
      <c r="W160" s="313">
        <f t="shared" si="45"/>
        <v>0</v>
      </c>
      <c r="X160" s="313">
        <f t="shared" si="45"/>
        <v>0</v>
      </c>
      <c r="Y160" s="313">
        <f t="shared" si="45"/>
        <v>0</v>
      </c>
      <c r="Z160" s="313">
        <f t="shared" si="45"/>
        <v>0</v>
      </c>
      <c r="AA160" s="314">
        <f t="shared" si="45"/>
        <v>0</v>
      </c>
    </row>
    <row r="161" spans="2:27" x14ac:dyDescent="0.3">
      <c r="B161" s="240" t="s">
        <v>1625</v>
      </c>
      <c r="C161" s="51" t="s">
        <v>1618</v>
      </c>
      <c r="D161" s="59" t="s">
        <v>1513</v>
      </c>
      <c r="E161" s="304" t="s">
        <v>1514</v>
      </c>
      <c r="F161" s="292">
        <v>3</v>
      </c>
      <c r="G161" s="313">
        <f t="shared" ref="G161:AA161" si="46">SUM(G155,G158)</f>
        <v>0</v>
      </c>
      <c r="H161" s="313">
        <f t="shared" si="46"/>
        <v>0</v>
      </c>
      <c r="I161" s="313">
        <f t="shared" si="46"/>
        <v>0</v>
      </c>
      <c r="J161" s="313">
        <f t="shared" si="46"/>
        <v>0</v>
      </c>
      <c r="K161" s="313">
        <f t="shared" si="46"/>
        <v>0</v>
      </c>
      <c r="L161" s="313">
        <f t="shared" si="46"/>
        <v>0</v>
      </c>
      <c r="M161" s="313">
        <f t="shared" si="46"/>
        <v>0</v>
      </c>
      <c r="N161" s="313">
        <f t="shared" si="46"/>
        <v>0</v>
      </c>
      <c r="O161" s="313">
        <f t="shared" si="46"/>
        <v>0</v>
      </c>
      <c r="P161" s="313">
        <f t="shared" si="46"/>
        <v>0</v>
      </c>
      <c r="Q161" s="313">
        <f t="shared" si="46"/>
        <v>0</v>
      </c>
      <c r="R161" s="313">
        <f t="shared" si="46"/>
        <v>0</v>
      </c>
      <c r="S161" s="313">
        <f t="shared" si="46"/>
        <v>0</v>
      </c>
      <c r="T161" s="313">
        <f t="shared" si="46"/>
        <v>0</v>
      </c>
      <c r="U161" s="313">
        <f t="shared" si="46"/>
        <v>0</v>
      </c>
      <c r="V161" s="313">
        <f t="shared" si="46"/>
        <v>0</v>
      </c>
      <c r="W161" s="313">
        <f t="shared" si="46"/>
        <v>0</v>
      </c>
      <c r="X161" s="313">
        <f t="shared" si="46"/>
        <v>0</v>
      </c>
      <c r="Y161" s="313">
        <f t="shared" si="46"/>
        <v>0</v>
      </c>
      <c r="Z161" s="313">
        <f t="shared" si="46"/>
        <v>0</v>
      </c>
      <c r="AA161" s="314">
        <f t="shared" si="46"/>
        <v>0</v>
      </c>
    </row>
    <row r="162" spans="2:27" x14ac:dyDescent="0.3">
      <c r="B162" s="240" t="s">
        <v>1626</v>
      </c>
      <c r="C162" s="51" t="s">
        <v>1620</v>
      </c>
      <c r="D162" s="59" t="s">
        <v>1513</v>
      </c>
      <c r="E162" s="304" t="s">
        <v>1514</v>
      </c>
      <c r="F162" s="292">
        <v>3</v>
      </c>
      <c r="G162" s="313">
        <f t="shared" ref="G162:AA162" si="47">SUM(G156,G159)</f>
        <v>0</v>
      </c>
      <c r="H162" s="313">
        <f t="shared" si="47"/>
        <v>0</v>
      </c>
      <c r="I162" s="313">
        <f t="shared" si="47"/>
        <v>0</v>
      </c>
      <c r="J162" s="313">
        <f t="shared" si="47"/>
        <v>0</v>
      </c>
      <c r="K162" s="313">
        <f t="shared" si="47"/>
        <v>0</v>
      </c>
      <c r="L162" s="313">
        <f t="shared" si="47"/>
        <v>0</v>
      </c>
      <c r="M162" s="313">
        <f t="shared" si="47"/>
        <v>0.186</v>
      </c>
      <c r="N162" s="313">
        <f t="shared" si="47"/>
        <v>0.186</v>
      </c>
      <c r="O162" s="313">
        <f t="shared" si="47"/>
        <v>0.186</v>
      </c>
      <c r="P162" s="313">
        <f t="shared" si="47"/>
        <v>0.186</v>
      </c>
      <c r="Q162" s="313">
        <f t="shared" si="47"/>
        <v>0.186</v>
      </c>
      <c r="R162" s="313">
        <f t="shared" si="47"/>
        <v>0</v>
      </c>
      <c r="S162" s="313">
        <f t="shared" si="47"/>
        <v>0</v>
      </c>
      <c r="T162" s="313">
        <f t="shared" si="47"/>
        <v>0</v>
      </c>
      <c r="U162" s="313">
        <f t="shared" si="47"/>
        <v>0</v>
      </c>
      <c r="V162" s="313">
        <f t="shared" si="47"/>
        <v>0</v>
      </c>
      <c r="W162" s="313">
        <f t="shared" si="47"/>
        <v>0</v>
      </c>
      <c r="X162" s="313">
        <f t="shared" si="47"/>
        <v>0</v>
      </c>
      <c r="Y162" s="313">
        <f t="shared" si="47"/>
        <v>0</v>
      </c>
      <c r="Z162" s="313">
        <f t="shared" si="47"/>
        <v>0</v>
      </c>
      <c r="AA162" s="314">
        <f t="shared" si="47"/>
        <v>0</v>
      </c>
    </row>
    <row r="163" spans="2:27" x14ac:dyDescent="0.3">
      <c r="B163" s="240" t="s">
        <v>1627</v>
      </c>
      <c r="C163" s="51" t="s">
        <v>1628</v>
      </c>
      <c r="D163" s="59" t="s">
        <v>1513</v>
      </c>
      <c r="E163" s="304" t="s">
        <v>1514</v>
      </c>
      <c r="F163" s="292">
        <v>3</v>
      </c>
      <c r="G163" s="309">
        <f>SUM(G153,G144,G135,G160,G161,G162)</f>
        <v>0</v>
      </c>
      <c r="H163" s="309">
        <f t="shared" ref="H163:AA163" si="48">SUM(H153,H144,H135,H160,H161,H162)</f>
        <v>0</v>
      </c>
      <c r="I163" s="309">
        <f t="shared" si="48"/>
        <v>0</v>
      </c>
      <c r="J163" s="309">
        <f t="shared" si="48"/>
        <v>0</v>
      </c>
      <c r="K163" s="309">
        <f t="shared" si="48"/>
        <v>0</v>
      </c>
      <c r="L163" s="309">
        <f t="shared" si="48"/>
        <v>0</v>
      </c>
      <c r="M163" s="309">
        <f t="shared" si="48"/>
        <v>0.99</v>
      </c>
      <c r="N163" s="309">
        <f t="shared" si="48"/>
        <v>0.99</v>
      </c>
      <c r="O163" s="309">
        <f t="shared" si="48"/>
        <v>0.99</v>
      </c>
      <c r="P163" s="309">
        <f t="shared" si="48"/>
        <v>0.99</v>
      </c>
      <c r="Q163" s="309">
        <f t="shared" si="48"/>
        <v>0.99</v>
      </c>
      <c r="R163" s="309">
        <f t="shared" si="48"/>
        <v>2.5099999999999998</v>
      </c>
      <c r="S163" s="309">
        <f t="shared" si="48"/>
        <v>0</v>
      </c>
      <c r="T163" s="309">
        <f t="shared" si="48"/>
        <v>0</v>
      </c>
      <c r="U163" s="309">
        <f t="shared" si="48"/>
        <v>0</v>
      </c>
      <c r="V163" s="309">
        <f t="shared" si="48"/>
        <v>0</v>
      </c>
      <c r="W163" s="309">
        <f t="shared" si="48"/>
        <v>0</v>
      </c>
      <c r="X163" s="309">
        <f t="shared" si="48"/>
        <v>0</v>
      </c>
      <c r="Y163" s="309">
        <f t="shared" si="48"/>
        <v>0</v>
      </c>
      <c r="Z163" s="309">
        <f t="shared" si="48"/>
        <v>0</v>
      </c>
      <c r="AA163" s="309">
        <f t="shared" si="48"/>
        <v>0</v>
      </c>
    </row>
    <row r="164" spans="2:27" ht="14.5" thickBot="1" x14ac:dyDescent="0.35">
      <c r="B164" s="242"/>
      <c r="C164" s="243"/>
      <c r="D164" s="63"/>
      <c r="E164" s="244"/>
      <c r="F164" s="245"/>
      <c r="G164" s="254"/>
      <c r="H164" s="254"/>
      <c r="I164" s="254"/>
      <c r="J164" s="254"/>
      <c r="K164" s="254"/>
      <c r="L164" s="254"/>
      <c r="M164" s="254"/>
      <c r="N164" s="254"/>
      <c r="O164" s="254"/>
      <c r="P164" s="254"/>
      <c r="Q164" s="254"/>
      <c r="R164" s="254"/>
      <c r="S164" s="254"/>
      <c r="T164" s="254"/>
      <c r="U164" s="254"/>
      <c r="V164" s="254"/>
      <c r="W164" s="254"/>
      <c r="X164" s="254"/>
      <c r="Y164" s="254"/>
      <c r="Z164" s="254"/>
      <c r="AA164" s="254"/>
    </row>
    <row r="165" spans="2:27" ht="56.5" thickBot="1" x14ac:dyDescent="0.35">
      <c r="B165" s="206" t="s">
        <v>1629</v>
      </c>
      <c r="G165" s="1738" t="s">
        <v>1534</v>
      </c>
      <c r="H165" s="1783"/>
      <c r="I165" s="1783"/>
      <c r="J165" s="1783"/>
      <c r="K165" s="1783"/>
      <c r="L165" s="1783"/>
      <c r="M165" s="1783"/>
      <c r="N165" s="1783"/>
      <c r="O165" s="1783"/>
      <c r="P165" s="1783"/>
      <c r="Q165" s="1739"/>
      <c r="R165" s="1738" t="s">
        <v>1535</v>
      </c>
      <c r="S165" s="1783"/>
      <c r="T165" s="1783"/>
      <c r="U165" s="1783"/>
      <c r="V165" s="1783"/>
      <c r="W165" s="1783"/>
      <c r="X165" s="1783"/>
      <c r="Y165" s="1783"/>
      <c r="Z165" s="1783"/>
      <c r="AA165" s="1739"/>
    </row>
    <row r="166" spans="2:27" ht="42.5" thickBot="1" x14ac:dyDescent="0.35">
      <c r="B166" s="247" t="s">
        <v>1536</v>
      </c>
      <c r="C166" s="248" t="s">
        <v>1509</v>
      </c>
      <c r="D166" s="248" t="s">
        <v>1510</v>
      </c>
      <c r="E166" s="248" t="s">
        <v>219</v>
      </c>
      <c r="F166" s="249" t="s">
        <v>220</v>
      </c>
      <c r="G166" s="247" t="s">
        <v>221</v>
      </c>
      <c r="H166" s="248" t="s">
        <v>222</v>
      </c>
      <c r="I166" s="248" t="s">
        <v>223</v>
      </c>
      <c r="J166" s="248" t="s">
        <v>224</v>
      </c>
      <c r="K166" s="248" t="s">
        <v>225</v>
      </c>
      <c r="L166" s="248" t="s">
        <v>226</v>
      </c>
      <c r="M166" s="248" t="s">
        <v>227</v>
      </c>
      <c r="N166" s="248" t="s">
        <v>228</v>
      </c>
      <c r="O166" s="248" t="s">
        <v>229</v>
      </c>
      <c r="P166" s="248" t="s">
        <v>230</v>
      </c>
      <c r="Q166" s="249" t="s">
        <v>231</v>
      </c>
      <c r="R166" s="252" t="s">
        <v>1537</v>
      </c>
      <c r="S166" s="250" t="s">
        <v>1538</v>
      </c>
      <c r="T166" s="250" t="s">
        <v>1539</v>
      </c>
      <c r="U166" s="250" t="s">
        <v>1540</v>
      </c>
      <c r="V166" s="250" t="s">
        <v>1541</v>
      </c>
      <c r="W166" s="250" t="s">
        <v>1542</v>
      </c>
      <c r="X166" s="250" t="s">
        <v>1543</v>
      </c>
      <c r="Y166" s="250" t="s">
        <v>1544</v>
      </c>
      <c r="Z166" s="250" t="s">
        <v>1545</v>
      </c>
      <c r="AA166" s="251" t="s">
        <v>1546</v>
      </c>
    </row>
    <row r="167" spans="2:27" x14ac:dyDescent="0.3">
      <c r="B167" s="240" t="s">
        <v>1630</v>
      </c>
      <c r="C167" s="51" t="s">
        <v>1631</v>
      </c>
      <c r="D167" s="59" t="s">
        <v>1322</v>
      </c>
      <c r="E167" s="304" t="s">
        <v>1514</v>
      </c>
      <c r="F167" s="292">
        <v>3</v>
      </c>
      <c r="G167" s="313">
        <f t="shared" ref="G167:AA167" si="49">SUM(G108,G111,G114,G117,G120,G127,G136,G145)</f>
        <v>0</v>
      </c>
      <c r="H167" s="313">
        <f t="shared" si="49"/>
        <v>0</v>
      </c>
      <c r="I167" s="313">
        <f t="shared" si="49"/>
        <v>0</v>
      </c>
      <c r="J167" s="313">
        <f t="shared" si="49"/>
        <v>0</v>
      </c>
      <c r="K167" s="313">
        <f t="shared" si="49"/>
        <v>0</v>
      </c>
      <c r="L167" s="313">
        <f t="shared" si="49"/>
        <v>0</v>
      </c>
      <c r="M167" s="313">
        <f t="shared" si="49"/>
        <v>26.652999999999995</v>
      </c>
      <c r="N167" s="313">
        <f t="shared" si="49"/>
        <v>26.652999999999995</v>
      </c>
      <c r="O167" s="313">
        <f t="shared" si="49"/>
        <v>26.652999999999995</v>
      </c>
      <c r="P167" s="313">
        <f t="shared" si="49"/>
        <v>3.323</v>
      </c>
      <c r="Q167" s="313">
        <f t="shared" si="49"/>
        <v>174.13550000000001</v>
      </c>
      <c r="R167" s="313">
        <f t="shared" si="49"/>
        <v>978.69849999999997</v>
      </c>
      <c r="S167" s="313">
        <f t="shared" si="49"/>
        <v>132.86949999999999</v>
      </c>
      <c r="T167" s="313">
        <f t="shared" si="49"/>
        <v>4.3624999999999998</v>
      </c>
      <c r="U167" s="313">
        <f t="shared" si="49"/>
        <v>0.86</v>
      </c>
      <c r="V167" s="313">
        <f t="shared" si="49"/>
        <v>0</v>
      </c>
      <c r="W167" s="313">
        <f t="shared" si="49"/>
        <v>0</v>
      </c>
      <c r="X167" s="313">
        <f t="shared" si="49"/>
        <v>0</v>
      </c>
      <c r="Y167" s="313">
        <f t="shared" si="49"/>
        <v>0</v>
      </c>
      <c r="Z167" s="313">
        <f t="shared" si="49"/>
        <v>0</v>
      </c>
      <c r="AA167" s="314">
        <f t="shared" si="49"/>
        <v>0</v>
      </c>
    </row>
    <row r="168" spans="2:27" x14ac:dyDescent="0.3">
      <c r="B168" s="240" t="s">
        <v>1632</v>
      </c>
      <c r="C168" s="51" t="s">
        <v>1631</v>
      </c>
      <c r="D168" s="59" t="s">
        <v>1317</v>
      </c>
      <c r="E168" s="304" t="s">
        <v>1514</v>
      </c>
      <c r="F168" s="292">
        <v>3</v>
      </c>
      <c r="G168" s="313">
        <f t="shared" ref="G168:AA168" si="50">SUM(G109,G112,G115,G118,G121,G131,G140,G149)</f>
        <v>0</v>
      </c>
      <c r="H168" s="313">
        <f t="shared" si="50"/>
        <v>0</v>
      </c>
      <c r="I168" s="313">
        <f t="shared" si="50"/>
        <v>0</v>
      </c>
      <c r="J168" s="313">
        <f t="shared" si="50"/>
        <v>0</v>
      </c>
      <c r="K168" s="313">
        <f t="shared" si="50"/>
        <v>0</v>
      </c>
      <c r="L168" s="313">
        <f t="shared" ref="L168" si="51">SUM(L109,L112,L115,L118,L121,L131,L140,L149)</f>
        <v>0</v>
      </c>
      <c r="M168" s="313">
        <f t="shared" si="50"/>
        <v>1.097</v>
      </c>
      <c r="N168" s="313">
        <f t="shared" si="50"/>
        <v>1.097</v>
      </c>
      <c r="O168" s="313">
        <f t="shared" si="50"/>
        <v>1.097</v>
      </c>
      <c r="P168" s="313">
        <f t="shared" si="50"/>
        <v>1.097</v>
      </c>
      <c r="Q168" s="313">
        <f t="shared" si="50"/>
        <v>1.097</v>
      </c>
      <c r="R168" s="313">
        <f t="shared" si="50"/>
        <v>65.179000000000002</v>
      </c>
      <c r="S168" s="313">
        <f t="shared" si="50"/>
        <v>28.286200000000001</v>
      </c>
      <c r="T168" s="313">
        <f t="shared" si="50"/>
        <v>16.888500000000001</v>
      </c>
      <c r="U168" s="313">
        <f t="shared" si="50"/>
        <v>16.890999999999998</v>
      </c>
      <c r="V168" s="313">
        <f t="shared" si="50"/>
        <v>16.621000000000002</v>
      </c>
      <c r="W168" s="313">
        <f t="shared" si="50"/>
        <v>16.621000000000002</v>
      </c>
      <c r="X168" s="313">
        <f t="shared" si="50"/>
        <v>16.621000000000002</v>
      </c>
      <c r="Y168" s="313">
        <f t="shared" si="50"/>
        <v>16.621000000000002</v>
      </c>
      <c r="Z168" s="313">
        <f t="shared" si="50"/>
        <v>16.621000000000002</v>
      </c>
      <c r="AA168" s="314">
        <f t="shared" si="50"/>
        <v>16.621000000000002</v>
      </c>
    </row>
    <row r="169" spans="2:27" ht="14.5" thickBot="1" x14ac:dyDescent="0.35">
      <c r="B169" s="241" t="s">
        <v>1633</v>
      </c>
      <c r="C169" s="52" t="s">
        <v>1631</v>
      </c>
      <c r="D169" s="61" t="s">
        <v>1513</v>
      </c>
      <c r="E169" s="305" t="s">
        <v>1514</v>
      </c>
      <c r="F169" s="293">
        <v>3</v>
      </c>
      <c r="G169" s="309">
        <f t="shared" ref="G169:L169" si="52">SUM(G167:G168)</f>
        <v>0</v>
      </c>
      <c r="H169" s="309">
        <f t="shared" si="52"/>
        <v>0</v>
      </c>
      <c r="I169" s="309">
        <f t="shared" si="52"/>
        <v>0</v>
      </c>
      <c r="J169" s="309">
        <f t="shared" si="52"/>
        <v>0</v>
      </c>
      <c r="K169" s="309">
        <f t="shared" si="52"/>
        <v>0</v>
      </c>
      <c r="L169" s="309">
        <f t="shared" si="52"/>
        <v>0</v>
      </c>
      <c r="M169" s="309">
        <f t="shared" ref="M169:AA169" si="53">SUM(M167:M168)</f>
        <v>27.749999999999996</v>
      </c>
      <c r="N169" s="309">
        <f t="shared" si="53"/>
        <v>27.749999999999996</v>
      </c>
      <c r="O169" s="309">
        <f t="shared" si="53"/>
        <v>27.749999999999996</v>
      </c>
      <c r="P169" s="309">
        <f t="shared" si="53"/>
        <v>4.42</v>
      </c>
      <c r="Q169" s="309">
        <f t="shared" si="53"/>
        <v>175.23250000000002</v>
      </c>
      <c r="R169" s="309">
        <f t="shared" si="53"/>
        <v>1043.8775000000001</v>
      </c>
      <c r="S169" s="309">
        <f t="shared" si="53"/>
        <v>161.1557</v>
      </c>
      <c r="T169" s="309">
        <f t="shared" si="53"/>
        <v>21.251000000000001</v>
      </c>
      <c r="U169" s="309">
        <f t="shared" si="53"/>
        <v>17.750999999999998</v>
      </c>
      <c r="V169" s="309">
        <f t="shared" si="53"/>
        <v>16.621000000000002</v>
      </c>
      <c r="W169" s="309">
        <f t="shared" si="53"/>
        <v>16.621000000000002</v>
      </c>
      <c r="X169" s="309">
        <f t="shared" si="53"/>
        <v>16.621000000000002</v>
      </c>
      <c r="Y169" s="309">
        <f t="shared" si="53"/>
        <v>16.621000000000002</v>
      </c>
      <c r="Z169" s="309">
        <f t="shared" si="53"/>
        <v>16.621000000000002</v>
      </c>
      <c r="AA169" s="312">
        <f t="shared" si="53"/>
        <v>16.621000000000002</v>
      </c>
    </row>
    <row r="170" spans="2:27" ht="14.5" thickBot="1" x14ac:dyDescent="0.35">
      <c r="B170" s="242"/>
      <c r="C170" s="243"/>
      <c r="D170" s="63"/>
      <c r="E170" s="244"/>
      <c r="F170" s="245"/>
      <c r="G170" s="254"/>
      <c r="H170" s="254"/>
      <c r="I170" s="254"/>
      <c r="J170" s="254"/>
      <c r="K170" s="254"/>
      <c r="L170" s="254"/>
      <c r="M170" s="254"/>
      <c r="N170" s="254"/>
      <c r="O170" s="254"/>
      <c r="P170" s="254"/>
      <c r="Q170" s="254"/>
      <c r="R170" s="254"/>
      <c r="S170" s="254"/>
      <c r="T170" s="254"/>
      <c r="U170" s="254"/>
      <c r="V170" s="254"/>
      <c r="W170" s="254"/>
      <c r="X170" s="254"/>
      <c r="Y170" s="254"/>
      <c r="Z170" s="254"/>
      <c r="AA170" s="254"/>
    </row>
    <row r="171" spans="2:27" ht="42.5" thickBot="1" x14ac:dyDescent="0.35">
      <c r="B171" s="206" t="s">
        <v>1634</v>
      </c>
      <c r="G171" s="1738" t="s">
        <v>1534</v>
      </c>
      <c r="H171" s="1783"/>
      <c r="I171" s="1783"/>
      <c r="J171" s="1783"/>
      <c r="K171" s="1783"/>
      <c r="L171" s="1783"/>
      <c r="M171" s="1783"/>
      <c r="N171" s="1783"/>
      <c r="O171" s="1783"/>
      <c r="P171" s="1783"/>
      <c r="Q171" s="1739"/>
      <c r="R171" s="1738" t="s">
        <v>1535</v>
      </c>
      <c r="S171" s="1783"/>
      <c r="T171" s="1783"/>
      <c r="U171" s="1783"/>
      <c r="V171" s="1783"/>
      <c r="W171" s="1783"/>
      <c r="X171" s="1783"/>
      <c r="Y171" s="1783"/>
      <c r="Z171" s="1783"/>
      <c r="AA171" s="1739"/>
    </row>
    <row r="172" spans="2:27" ht="42.5" thickBot="1" x14ac:dyDescent="0.35">
      <c r="B172" s="247" t="s">
        <v>1536</v>
      </c>
      <c r="C172" s="248" t="s">
        <v>1635</v>
      </c>
      <c r="D172" s="248" t="s">
        <v>1510</v>
      </c>
      <c r="E172" s="248" t="s">
        <v>219</v>
      </c>
      <c r="F172" s="249" t="s">
        <v>220</v>
      </c>
      <c r="G172" s="247" t="s">
        <v>221</v>
      </c>
      <c r="H172" s="248" t="s">
        <v>222</v>
      </c>
      <c r="I172" s="248" t="s">
        <v>223</v>
      </c>
      <c r="J172" s="248" t="s">
        <v>224</v>
      </c>
      <c r="K172" s="248" t="s">
        <v>225</v>
      </c>
      <c r="L172" s="248" t="s">
        <v>226</v>
      </c>
      <c r="M172" s="248" t="s">
        <v>227</v>
      </c>
      <c r="N172" s="248" t="s">
        <v>228</v>
      </c>
      <c r="O172" s="248" t="s">
        <v>229</v>
      </c>
      <c r="P172" s="248" t="s">
        <v>230</v>
      </c>
      <c r="Q172" s="249" t="s">
        <v>231</v>
      </c>
      <c r="R172" s="252" t="s">
        <v>1537</v>
      </c>
      <c r="S172" s="250" t="s">
        <v>1538</v>
      </c>
      <c r="T172" s="250" t="s">
        <v>1539</v>
      </c>
      <c r="U172" s="250" t="s">
        <v>1540</v>
      </c>
      <c r="V172" s="250" t="s">
        <v>1541</v>
      </c>
      <c r="W172" s="250" t="s">
        <v>1542</v>
      </c>
      <c r="X172" s="250" t="s">
        <v>1543</v>
      </c>
      <c r="Y172" s="250" t="s">
        <v>1544</v>
      </c>
      <c r="Z172" s="250" t="s">
        <v>1545</v>
      </c>
      <c r="AA172" s="251" t="s">
        <v>1546</v>
      </c>
    </row>
    <row r="173" spans="2:27" x14ac:dyDescent="0.3">
      <c r="B173" s="1176" t="s">
        <v>1636</v>
      </c>
      <c r="C173" s="1177" t="s">
        <v>1637</v>
      </c>
      <c r="D173" s="1178" t="s">
        <v>1638</v>
      </c>
      <c r="E173" s="1179" t="s">
        <v>305</v>
      </c>
      <c r="F173" s="1180">
        <v>2</v>
      </c>
      <c r="G173" s="423"/>
      <c r="H173" s="423"/>
      <c r="I173" s="423"/>
      <c r="J173" s="423"/>
      <c r="K173" s="423"/>
      <c r="L173" s="423"/>
      <c r="M173" s="1471">
        <v>0</v>
      </c>
      <c r="N173" s="1471">
        <v>0</v>
      </c>
      <c r="O173" s="1471">
        <v>0</v>
      </c>
      <c r="P173" s="1471">
        <v>0</v>
      </c>
      <c r="Q173" s="1471">
        <v>0</v>
      </c>
      <c r="R173" s="317">
        <v>26</v>
      </c>
      <c r="S173" s="317">
        <v>44</v>
      </c>
      <c r="T173" s="317">
        <v>9</v>
      </c>
      <c r="U173" s="317">
        <v>0</v>
      </c>
      <c r="V173" s="317">
        <v>0</v>
      </c>
      <c r="W173" s="317">
        <v>0</v>
      </c>
      <c r="X173" s="317">
        <v>0</v>
      </c>
      <c r="Y173" s="317">
        <v>0</v>
      </c>
      <c r="Z173" s="317">
        <v>0</v>
      </c>
      <c r="AA173" s="317">
        <v>0</v>
      </c>
    </row>
    <row r="174" spans="2:27" x14ac:dyDescent="0.3">
      <c r="B174" s="240" t="s">
        <v>1639</v>
      </c>
      <c r="C174" s="51" t="s">
        <v>1640</v>
      </c>
      <c r="D174" s="59" t="s">
        <v>1638</v>
      </c>
      <c r="E174" s="60" t="s">
        <v>305</v>
      </c>
      <c r="F174" s="292">
        <v>2</v>
      </c>
      <c r="G174" s="423"/>
      <c r="H174" s="424"/>
      <c r="I174" s="424"/>
      <c r="J174" s="424"/>
      <c r="K174" s="424"/>
      <c r="L174" s="424"/>
      <c r="M174" s="317">
        <v>0.26</v>
      </c>
      <c r="N174" s="317">
        <v>0.26</v>
      </c>
      <c r="O174" s="317">
        <v>0.26</v>
      </c>
      <c r="P174" s="317">
        <v>0.26</v>
      </c>
      <c r="Q174" s="317">
        <v>0.26</v>
      </c>
      <c r="R174" s="317">
        <v>2.0699999999999998</v>
      </c>
      <c r="S174" s="317">
        <v>1.91</v>
      </c>
      <c r="T174" s="317">
        <v>1.65</v>
      </c>
      <c r="U174" s="317">
        <v>0.9</v>
      </c>
      <c r="V174" s="317">
        <v>0</v>
      </c>
      <c r="W174" s="317">
        <v>0</v>
      </c>
      <c r="X174" s="317">
        <v>0</v>
      </c>
      <c r="Y174" s="317">
        <v>0</v>
      </c>
      <c r="Z174" s="317">
        <v>0</v>
      </c>
      <c r="AA174" s="318">
        <v>0</v>
      </c>
    </row>
    <row r="175" spans="2:27" x14ac:dyDescent="0.3">
      <c r="B175" s="240" t="s">
        <v>1641</v>
      </c>
      <c r="C175" s="51" t="s">
        <v>1561</v>
      </c>
      <c r="D175" s="59" t="s">
        <v>1638</v>
      </c>
      <c r="E175" s="60" t="s">
        <v>305</v>
      </c>
      <c r="F175" s="292">
        <v>2</v>
      </c>
      <c r="G175" s="423"/>
      <c r="H175" s="424"/>
      <c r="I175" s="424"/>
      <c r="J175" s="424"/>
      <c r="K175" s="424"/>
      <c r="L175" s="424"/>
      <c r="M175" s="317">
        <v>0.48</v>
      </c>
      <c r="N175" s="317">
        <v>0.48</v>
      </c>
      <c r="O175" s="317">
        <v>0.48</v>
      </c>
      <c r="P175" s="317">
        <v>0.48</v>
      </c>
      <c r="Q175" s="317">
        <v>0.48</v>
      </c>
      <c r="R175" s="317">
        <v>1.71</v>
      </c>
      <c r="S175" s="317">
        <v>1.79</v>
      </c>
      <c r="T175" s="317">
        <v>0</v>
      </c>
      <c r="U175" s="317">
        <v>0</v>
      </c>
      <c r="V175" s="317">
        <v>0</v>
      </c>
      <c r="W175" s="317">
        <v>0</v>
      </c>
      <c r="X175" s="317">
        <v>0</v>
      </c>
      <c r="Y175" s="317">
        <v>0</v>
      </c>
      <c r="Z175" s="317">
        <v>0</v>
      </c>
      <c r="AA175" s="318">
        <v>0</v>
      </c>
    </row>
    <row r="176" spans="2:27" x14ac:dyDescent="0.3">
      <c r="B176" s="240" t="s">
        <v>1642</v>
      </c>
      <c r="C176" s="51" t="s">
        <v>1643</v>
      </c>
      <c r="D176" s="59" t="s">
        <v>1638</v>
      </c>
      <c r="E176" s="60" t="s">
        <v>305</v>
      </c>
      <c r="F176" s="292">
        <v>2</v>
      </c>
      <c r="G176" s="423"/>
      <c r="H176" s="424"/>
      <c r="I176" s="424"/>
      <c r="J176" s="424"/>
      <c r="K176" s="424"/>
      <c r="L176" s="424"/>
      <c r="M176" s="317">
        <v>0</v>
      </c>
      <c r="N176" s="317">
        <v>0</v>
      </c>
      <c r="O176" s="317">
        <v>0</v>
      </c>
      <c r="P176" s="317">
        <v>0</v>
      </c>
      <c r="Q176" s="317">
        <v>0</v>
      </c>
      <c r="R176" s="317">
        <v>0</v>
      </c>
      <c r="S176" s="317">
        <v>0</v>
      </c>
      <c r="T176" s="317">
        <v>0</v>
      </c>
      <c r="U176" s="317">
        <v>0</v>
      </c>
      <c r="V176" s="317">
        <v>0</v>
      </c>
      <c r="W176" s="317">
        <v>0</v>
      </c>
      <c r="X176" s="317">
        <v>0</v>
      </c>
      <c r="Y176" s="317">
        <v>0</v>
      </c>
      <c r="Z176" s="317">
        <v>0</v>
      </c>
      <c r="AA176" s="317">
        <v>0</v>
      </c>
    </row>
    <row r="177" spans="2:27" x14ac:dyDescent="0.3">
      <c r="B177" s="240" t="s">
        <v>1644</v>
      </c>
      <c r="C177" s="51" t="s">
        <v>1645</v>
      </c>
      <c r="D177" s="59" t="s">
        <v>1638</v>
      </c>
      <c r="E177" s="60" t="s">
        <v>305</v>
      </c>
      <c r="F177" s="292">
        <v>2</v>
      </c>
      <c r="G177" s="1175">
        <f>SUM(G178:G184)</f>
        <v>0</v>
      </c>
      <c r="H177" s="1175">
        <f t="shared" ref="H177:L177" si="54">SUM(H178:H184)</f>
        <v>0</v>
      </c>
      <c r="I177" s="1175">
        <f t="shared" si="54"/>
        <v>0</v>
      </c>
      <c r="J177" s="1175">
        <f t="shared" si="54"/>
        <v>0</v>
      </c>
      <c r="K177" s="1175">
        <f t="shared" si="54"/>
        <v>0</v>
      </c>
      <c r="L177" s="1175">
        <f t="shared" si="54"/>
        <v>0</v>
      </c>
      <c r="M177" s="1175">
        <f t="shared" ref="M177:AA177" si="55">SUM(M178:M184)</f>
        <v>0.53200000000000003</v>
      </c>
      <c r="N177" s="1175">
        <f t="shared" si="55"/>
        <v>0.53200000000000003</v>
      </c>
      <c r="O177" s="1175">
        <f t="shared" si="55"/>
        <v>0.53200000000000003</v>
      </c>
      <c r="P177" s="1175">
        <f t="shared" si="55"/>
        <v>0.53200000000000003</v>
      </c>
      <c r="Q177" s="1175">
        <f t="shared" si="55"/>
        <v>0.53200000000000003</v>
      </c>
      <c r="R177" s="1175">
        <f t="shared" si="55"/>
        <v>2</v>
      </c>
      <c r="S177" s="1175">
        <f t="shared" si="55"/>
        <v>0</v>
      </c>
      <c r="T177" s="1175">
        <f t="shared" si="55"/>
        <v>0</v>
      </c>
      <c r="U177" s="1175">
        <f t="shared" si="55"/>
        <v>0</v>
      </c>
      <c r="V177" s="1175">
        <f t="shared" si="55"/>
        <v>0</v>
      </c>
      <c r="W177" s="1175">
        <f t="shared" si="55"/>
        <v>0</v>
      </c>
      <c r="X177" s="1175">
        <f t="shared" si="55"/>
        <v>0</v>
      </c>
      <c r="Y177" s="1175">
        <f t="shared" si="55"/>
        <v>0</v>
      </c>
      <c r="Z177" s="1175">
        <f t="shared" si="55"/>
        <v>0</v>
      </c>
      <c r="AA177" s="1175">
        <f t="shared" si="55"/>
        <v>0</v>
      </c>
    </row>
    <row r="178" spans="2:27" x14ac:dyDescent="0.3">
      <c r="B178" s="240" t="s">
        <v>1646</v>
      </c>
      <c r="C178" s="51" t="s">
        <v>1647</v>
      </c>
      <c r="D178" s="59" t="s">
        <v>1638</v>
      </c>
      <c r="E178" s="60" t="s">
        <v>305</v>
      </c>
      <c r="F178" s="292">
        <v>2</v>
      </c>
      <c r="G178" s="423"/>
      <c r="H178" s="424"/>
      <c r="I178" s="424"/>
      <c r="J178" s="424"/>
      <c r="K178" s="424"/>
      <c r="L178" s="424"/>
      <c r="M178" s="317">
        <v>0</v>
      </c>
      <c r="N178" s="317">
        <v>0</v>
      </c>
      <c r="O178" s="317">
        <v>0</v>
      </c>
      <c r="P178" s="317">
        <v>0</v>
      </c>
      <c r="Q178" s="317">
        <v>0</v>
      </c>
      <c r="R178" s="317">
        <v>0</v>
      </c>
      <c r="S178" s="317">
        <v>0</v>
      </c>
      <c r="T178" s="317">
        <v>0</v>
      </c>
      <c r="U178" s="317">
        <v>0</v>
      </c>
      <c r="V178" s="317">
        <v>0</v>
      </c>
      <c r="W178" s="317">
        <v>0</v>
      </c>
      <c r="X178" s="317">
        <v>0</v>
      </c>
      <c r="Y178" s="317">
        <v>0</v>
      </c>
      <c r="Z178" s="317">
        <v>0</v>
      </c>
      <c r="AA178" s="317">
        <v>0</v>
      </c>
    </row>
    <row r="179" spans="2:27" x14ac:dyDescent="0.3">
      <c r="B179" s="240" t="s">
        <v>1648</v>
      </c>
      <c r="C179" s="51" t="s">
        <v>1649</v>
      </c>
      <c r="D179" s="59" t="s">
        <v>1638</v>
      </c>
      <c r="E179" s="60" t="s">
        <v>305</v>
      </c>
      <c r="F179" s="292">
        <v>2</v>
      </c>
      <c r="G179" s="423"/>
      <c r="H179" s="424"/>
      <c r="I179" s="424"/>
      <c r="J179" s="424"/>
      <c r="K179" s="424"/>
      <c r="L179" s="424"/>
      <c r="M179" s="317">
        <v>0</v>
      </c>
      <c r="N179" s="317">
        <v>0</v>
      </c>
      <c r="O179" s="317">
        <v>0</v>
      </c>
      <c r="P179" s="317">
        <v>0</v>
      </c>
      <c r="Q179" s="317">
        <v>0</v>
      </c>
      <c r="R179" s="317">
        <v>0</v>
      </c>
      <c r="S179" s="317">
        <v>0</v>
      </c>
      <c r="T179" s="317">
        <v>0</v>
      </c>
      <c r="U179" s="317">
        <v>0</v>
      </c>
      <c r="V179" s="317">
        <v>0</v>
      </c>
      <c r="W179" s="317">
        <v>0</v>
      </c>
      <c r="X179" s="317">
        <v>0</v>
      </c>
      <c r="Y179" s="317">
        <v>0</v>
      </c>
      <c r="Z179" s="317">
        <v>0</v>
      </c>
      <c r="AA179" s="317">
        <v>0</v>
      </c>
    </row>
    <row r="180" spans="2:27" x14ac:dyDescent="0.3">
      <c r="B180" s="240" t="s">
        <v>1650</v>
      </c>
      <c r="C180" s="51" t="s">
        <v>1651</v>
      </c>
      <c r="D180" s="59" t="s">
        <v>1638</v>
      </c>
      <c r="E180" s="60" t="s">
        <v>305</v>
      </c>
      <c r="F180" s="292">
        <v>2</v>
      </c>
      <c r="G180" s="423"/>
      <c r="H180" s="424"/>
      <c r="I180" s="424"/>
      <c r="J180" s="424"/>
      <c r="K180" s="424"/>
      <c r="L180" s="424"/>
      <c r="M180" s="317">
        <v>0.14199999999999999</v>
      </c>
      <c r="N180" s="317">
        <v>0.14199999999999999</v>
      </c>
      <c r="O180" s="317">
        <v>0.14199999999999999</v>
      </c>
      <c r="P180" s="317">
        <v>0.14199999999999999</v>
      </c>
      <c r="Q180" s="317">
        <v>0.14199999999999999</v>
      </c>
      <c r="R180" s="317">
        <v>0.71</v>
      </c>
      <c r="S180" s="317">
        <v>0</v>
      </c>
      <c r="T180" s="317">
        <v>0</v>
      </c>
      <c r="U180" s="317">
        <v>0</v>
      </c>
      <c r="V180" s="317">
        <v>0</v>
      </c>
      <c r="W180" s="317">
        <v>0</v>
      </c>
      <c r="X180" s="317">
        <v>0</v>
      </c>
      <c r="Y180" s="317">
        <v>0</v>
      </c>
      <c r="Z180" s="317">
        <v>0</v>
      </c>
      <c r="AA180" s="317">
        <v>0</v>
      </c>
    </row>
    <row r="181" spans="2:27" ht="28" x14ac:dyDescent="0.3">
      <c r="B181" s="240" t="s">
        <v>1652</v>
      </c>
      <c r="C181" s="51" t="s">
        <v>1653</v>
      </c>
      <c r="D181" s="59" t="s">
        <v>1638</v>
      </c>
      <c r="E181" s="60" t="s">
        <v>305</v>
      </c>
      <c r="F181" s="292">
        <v>2</v>
      </c>
      <c r="G181" s="423"/>
      <c r="H181" s="424"/>
      <c r="I181" s="424"/>
      <c r="J181" s="424"/>
      <c r="K181" s="424"/>
      <c r="L181" s="424"/>
      <c r="M181" s="317">
        <v>0</v>
      </c>
      <c r="N181" s="317">
        <v>0</v>
      </c>
      <c r="O181" s="317">
        <v>0</v>
      </c>
      <c r="P181" s="317">
        <v>0</v>
      </c>
      <c r="Q181" s="317">
        <v>0</v>
      </c>
      <c r="R181" s="317">
        <v>0</v>
      </c>
      <c r="S181" s="317">
        <v>0</v>
      </c>
      <c r="T181" s="317">
        <v>0</v>
      </c>
      <c r="U181" s="317">
        <v>0</v>
      </c>
      <c r="V181" s="317">
        <v>0</v>
      </c>
      <c r="W181" s="317">
        <v>0</v>
      </c>
      <c r="X181" s="317">
        <v>0</v>
      </c>
      <c r="Y181" s="317">
        <v>0</v>
      </c>
      <c r="Z181" s="317">
        <v>0</v>
      </c>
      <c r="AA181" s="317">
        <v>0</v>
      </c>
    </row>
    <row r="182" spans="2:27" ht="28" x14ac:dyDescent="0.3">
      <c r="B182" s="240" t="s">
        <v>1654</v>
      </c>
      <c r="C182" s="51" t="s">
        <v>1655</v>
      </c>
      <c r="D182" s="59" t="s">
        <v>1638</v>
      </c>
      <c r="E182" s="60" t="s">
        <v>305</v>
      </c>
      <c r="F182" s="292">
        <v>2</v>
      </c>
      <c r="G182" s="423"/>
      <c r="H182" s="424"/>
      <c r="I182" s="424"/>
      <c r="J182" s="424"/>
      <c r="K182" s="424"/>
      <c r="L182" s="424"/>
      <c r="M182" s="317">
        <v>0</v>
      </c>
      <c r="N182" s="317">
        <v>0</v>
      </c>
      <c r="O182" s="317">
        <v>0</v>
      </c>
      <c r="P182" s="317">
        <v>0</v>
      </c>
      <c r="Q182" s="317">
        <v>0</v>
      </c>
      <c r="R182" s="317">
        <v>0</v>
      </c>
      <c r="S182" s="317">
        <v>0</v>
      </c>
      <c r="T182" s="317">
        <v>0</v>
      </c>
      <c r="U182" s="317">
        <v>0</v>
      </c>
      <c r="V182" s="317">
        <v>0</v>
      </c>
      <c r="W182" s="317">
        <v>0</v>
      </c>
      <c r="X182" s="317">
        <v>0</v>
      </c>
      <c r="Y182" s="317">
        <v>0</v>
      </c>
      <c r="Z182" s="317">
        <v>0</v>
      </c>
      <c r="AA182" s="317">
        <v>0</v>
      </c>
    </row>
    <row r="183" spans="2:27" ht="28" x14ac:dyDescent="0.3">
      <c r="B183" s="240" t="s">
        <v>1656</v>
      </c>
      <c r="C183" s="51" t="s">
        <v>1657</v>
      </c>
      <c r="D183" s="59" t="s">
        <v>1638</v>
      </c>
      <c r="E183" s="60" t="s">
        <v>305</v>
      </c>
      <c r="F183" s="292">
        <v>2</v>
      </c>
      <c r="G183" s="423"/>
      <c r="H183" s="424"/>
      <c r="I183" s="424"/>
      <c r="J183" s="424"/>
      <c r="K183" s="424"/>
      <c r="L183" s="424"/>
      <c r="M183" s="317">
        <v>0</v>
      </c>
      <c r="N183" s="317">
        <v>0</v>
      </c>
      <c r="O183" s="317">
        <v>0</v>
      </c>
      <c r="P183" s="317">
        <v>0</v>
      </c>
      <c r="Q183" s="317">
        <v>0</v>
      </c>
      <c r="R183" s="317">
        <v>0</v>
      </c>
      <c r="S183" s="317">
        <v>0</v>
      </c>
      <c r="T183" s="317">
        <v>0</v>
      </c>
      <c r="U183" s="317">
        <v>0</v>
      </c>
      <c r="V183" s="317">
        <v>0</v>
      </c>
      <c r="W183" s="317">
        <v>0</v>
      </c>
      <c r="X183" s="317">
        <v>0</v>
      </c>
      <c r="Y183" s="317">
        <v>0</v>
      </c>
      <c r="Z183" s="317">
        <v>0</v>
      </c>
      <c r="AA183" s="317">
        <v>0</v>
      </c>
    </row>
    <row r="184" spans="2:27" ht="28.5" thickBot="1" x14ac:dyDescent="0.35">
      <c r="B184" s="241" t="s">
        <v>1658</v>
      </c>
      <c r="C184" s="52" t="s">
        <v>1659</v>
      </c>
      <c r="D184" s="61" t="s">
        <v>1638</v>
      </c>
      <c r="E184" s="62" t="s">
        <v>305</v>
      </c>
      <c r="F184" s="293">
        <v>2</v>
      </c>
      <c r="G184" s="423"/>
      <c r="H184" s="424"/>
      <c r="I184" s="424"/>
      <c r="J184" s="424"/>
      <c r="K184" s="424"/>
      <c r="L184" s="424"/>
      <c r="M184" s="317">
        <v>0.39</v>
      </c>
      <c r="N184" s="317">
        <v>0.39</v>
      </c>
      <c r="O184" s="317">
        <v>0.39</v>
      </c>
      <c r="P184" s="317">
        <v>0.39</v>
      </c>
      <c r="Q184" s="317">
        <v>0.39</v>
      </c>
      <c r="R184" s="317">
        <v>1.29</v>
      </c>
      <c r="S184" s="317">
        <v>0</v>
      </c>
      <c r="T184" s="317">
        <v>0</v>
      </c>
      <c r="U184" s="317">
        <v>0</v>
      </c>
      <c r="V184" s="317">
        <v>0</v>
      </c>
      <c r="W184" s="317">
        <v>0</v>
      </c>
      <c r="X184" s="317">
        <v>0</v>
      </c>
      <c r="Y184" s="317">
        <v>0</v>
      </c>
      <c r="Z184" s="317">
        <v>0</v>
      </c>
      <c r="AA184" s="317">
        <v>0</v>
      </c>
    </row>
    <row r="185" spans="2:27" ht="14.5" thickBot="1" x14ac:dyDescent="0.35">
      <c r="B185" s="242"/>
      <c r="C185" s="243"/>
      <c r="D185" s="63"/>
      <c r="E185" s="244"/>
      <c r="F185" s="245"/>
      <c r="G185" s="254"/>
      <c r="H185" s="254"/>
      <c r="I185" s="254"/>
      <c r="J185" s="254"/>
      <c r="K185" s="254"/>
      <c r="L185" s="254"/>
      <c r="M185" s="254"/>
      <c r="N185" s="254"/>
      <c r="O185" s="254"/>
      <c r="P185" s="254"/>
      <c r="Q185" s="254"/>
      <c r="R185" s="254"/>
      <c r="S185" s="254"/>
      <c r="T185" s="254"/>
      <c r="U185" s="254"/>
      <c r="V185" s="254"/>
      <c r="W185" s="254"/>
      <c r="X185" s="254"/>
      <c r="Y185" s="254"/>
      <c r="Z185" s="254"/>
      <c r="AA185" s="254"/>
    </row>
    <row r="186" spans="2:27" ht="42.5" thickBot="1" x14ac:dyDescent="0.35">
      <c r="B186" s="206" t="s">
        <v>1660</v>
      </c>
      <c r="G186" s="1738" t="s">
        <v>1534</v>
      </c>
      <c r="H186" s="1783"/>
      <c r="I186" s="1783"/>
      <c r="J186" s="1783"/>
      <c r="K186" s="1783"/>
      <c r="L186" s="1783"/>
      <c r="M186" s="1783"/>
      <c r="N186" s="1783"/>
      <c r="O186" s="1783"/>
      <c r="P186" s="1783"/>
      <c r="Q186" s="1739"/>
      <c r="R186" s="1738" t="s">
        <v>1535</v>
      </c>
      <c r="S186" s="1783"/>
      <c r="T186" s="1783"/>
      <c r="U186" s="1783"/>
      <c r="V186" s="1783"/>
      <c r="W186" s="1783"/>
      <c r="X186" s="1783"/>
      <c r="Y186" s="1783"/>
      <c r="Z186" s="1783"/>
      <c r="AA186" s="1739"/>
    </row>
    <row r="187" spans="2:27" ht="42.5" thickBot="1" x14ac:dyDescent="0.35">
      <c r="B187" s="247" t="s">
        <v>1536</v>
      </c>
      <c r="C187" s="248" t="s">
        <v>1509</v>
      </c>
      <c r="D187" s="248" t="s">
        <v>1510</v>
      </c>
      <c r="E187" s="248" t="s">
        <v>219</v>
      </c>
      <c r="F187" s="249" t="s">
        <v>220</v>
      </c>
      <c r="G187" s="247" t="s">
        <v>221</v>
      </c>
      <c r="H187" s="248" t="s">
        <v>222</v>
      </c>
      <c r="I187" s="248" t="s">
        <v>223</v>
      </c>
      <c r="J187" s="248" t="s">
        <v>224</v>
      </c>
      <c r="K187" s="248" t="s">
        <v>225</v>
      </c>
      <c r="L187" s="248" t="s">
        <v>226</v>
      </c>
      <c r="M187" s="248" t="s">
        <v>227</v>
      </c>
      <c r="N187" s="248" t="s">
        <v>228</v>
      </c>
      <c r="O187" s="248" t="s">
        <v>229</v>
      </c>
      <c r="P187" s="248" t="s">
        <v>230</v>
      </c>
      <c r="Q187" s="249" t="s">
        <v>231</v>
      </c>
      <c r="R187" s="252" t="s">
        <v>1537</v>
      </c>
      <c r="S187" s="250" t="s">
        <v>1538</v>
      </c>
      <c r="T187" s="250" t="s">
        <v>1539</v>
      </c>
      <c r="U187" s="250" t="s">
        <v>1540</v>
      </c>
      <c r="V187" s="250" t="s">
        <v>1541</v>
      </c>
      <c r="W187" s="250" t="s">
        <v>1542</v>
      </c>
      <c r="X187" s="250" t="s">
        <v>1543</v>
      </c>
      <c r="Y187" s="250" t="s">
        <v>1544</v>
      </c>
      <c r="Z187" s="250" t="s">
        <v>1545</v>
      </c>
      <c r="AA187" s="251" t="s">
        <v>1546</v>
      </c>
    </row>
    <row r="188" spans="2:27" x14ac:dyDescent="0.3">
      <c r="B188" s="240" t="s">
        <v>1661</v>
      </c>
      <c r="C188" s="51" t="s">
        <v>1662</v>
      </c>
      <c r="D188" s="59" t="s">
        <v>1513</v>
      </c>
      <c r="E188" s="304" t="s">
        <v>1514</v>
      </c>
      <c r="F188" s="292">
        <v>3</v>
      </c>
      <c r="G188" s="421"/>
      <c r="H188" s="422"/>
      <c r="I188" s="422"/>
      <c r="J188" s="422"/>
      <c r="K188" s="422"/>
      <c r="L188" s="422"/>
      <c r="M188" s="315">
        <v>0</v>
      </c>
      <c r="N188" s="315">
        <v>0</v>
      </c>
      <c r="O188" s="315">
        <v>0</v>
      </c>
      <c r="P188" s="315">
        <v>0</v>
      </c>
      <c r="Q188" s="315">
        <v>0</v>
      </c>
      <c r="R188" s="315">
        <v>0</v>
      </c>
      <c r="S188" s="315">
        <v>0</v>
      </c>
      <c r="T188" s="315">
        <v>0</v>
      </c>
      <c r="U188" s="315">
        <v>0</v>
      </c>
      <c r="V188" s="315">
        <v>0</v>
      </c>
      <c r="W188" s="315">
        <v>0</v>
      </c>
      <c r="X188" s="315">
        <v>0</v>
      </c>
      <c r="Y188" s="315">
        <v>0</v>
      </c>
      <c r="Z188" s="315">
        <v>0</v>
      </c>
      <c r="AA188" s="315">
        <v>0</v>
      </c>
    </row>
    <row r="189" spans="2:27" ht="14.5" thickBot="1" x14ac:dyDescent="0.35">
      <c r="B189" s="241" t="s">
        <v>1663</v>
      </c>
      <c r="C189" s="52" t="s">
        <v>1664</v>
      </c>
      <c r="D189" s="61" t="s">
        <v>1513</v>
      </c>
      <c r="E189" s="305" t="s">
        <v>1514</v>
      </c>
      <c r="F189" s="293">
        <v>3</v>
      </c>
      <c r="G189" s="425"/>
      <c r="H189" s="426"/>
      <c r="I189" s="426"/>
      <c r="J189" s="426"/>
      <c r="K189" s="426"/>
      <c r="L189" s="426"/>
      <c r="M189" s="319">
        <v>0.48599999999999999</v>
      </c>
      <c r="N189" s="319">
        <v>0.48599999999999999</v>
      </c>
      <c r="O189" s="319">
        <v>0.48599999999999999</v>
      </c>
      <c r="P189" s="319">
        <v>0.48599999999999999</v>
      </c>
      <c r="Q189" s="319">
        <v>0.48599999999999999</v>
      </c>
      <c r="R189" s="319">
        <v>2.1</v>
      </c>
      <c r="S189" s="319">
        <v>1.54</v>
      </c>
      <c r="T189" s="319">
        <v>2.91</v>
      </c>
      <c r="U189" s="319">
        <v>8.07</v>
      </c>
      <c r="V189" s="319">
        <v>0</v>
      </c>
      <c r="W189" s="319">
        <v>0</v>
      </c>
      <c r="X189" s="319">
        <v>0</v>
      </c>
      <c r="Y189" s="319">
        <v>0</v>
      </c>
      <c r="Z189" s="319">
        <v>0</v>
      </c>
      <c r="AA189" s="320">
        <v>0</v>
      </c>
    </row>
    <row r="190" spans="2:27" x14ac:dyDescent="0.3">
      <c r="B190" s="236"/>
      <c r="C190" s="255"/>
      <c r="D190" s="255"/>
      <c r="E190" s="255"/>
      <c r="F190" s="255"/>
    </row>
    <row r="191" spans="2:27" ht="14.5" thickBot="1" x14ac:dyDescent="0.35"/>
    <row r="192" spans="2:27" ht="28.5" thickBot="1" x14ac:dyDescent="0.35">
      <c r="B192" s="434" t="s">
        <v>60</v>
      </c>
      <c r="C192" s="69" t="str">
        <f>'TITLE PAGE'!$D$18</f>
        <v>Cambridge Water</v>
      </c>
      <c r="D192" s="432" t="s">
        <v>2</v>
      </c>
      <c r="E192" s="431">
        <v>3</v>
      </c>
      <c r="G192" s="1243" t="s">
        <v>59</v>
      </c>
    </row>
    <row r="193" spans="2:27" ht="42.5" thickBot="1" x14ac:dyDescent="0.35">
      <c r="B193" s="433" t="s">
        <v>214</v>
      </c>
      <c r="C193" s="1256" t="s">
        <v>1667</v>
      </c>
      <c r="D193" s="427" t="s">
        <v>1668</v>
      </c>
      <c r="E193" s="428">
        <v>1009.2809999999999</v>
      </c>
    </row>
    <row r="194" spans="2:27" ht="14.5" thickBot="1" x14ac:dyDescent="0.35"/>
    <row r="195" spans="2:27" ht="42.5" thickBot="1" x14ac:dyDescent="0.35">
      <c r="B195" s="206" t="s">
        <v>1533</v>
      </c>
      <c r="G195" s="1738" t="s">
        <v>1534</v>
      </c>
      <c r="H195" s="1783"/>
      <c r="I195" s="1783"/>
      <c r="J195" s="1783"/>
      <c r="K195" s="1783"/>
      <c r="L195" s="1783"/>
      <c r="M195" s="1783"/>
      <c r="N195" s="1783"/>
      <c r="O195" s="1783"/>
      <c r="P195" s="1783"/>
      <c r="Q195" s="1739"/>
      <c r="R195" s="1738" t="s">
        <v>1535</v>
      </c>
      <c r="S195" s="1783"/>
      <c r="T195" s="1783"/>
      <c r="U195" s="1783"/>
      <c r="V195" s="1783"/>
      <c r="W195" s="1783"/>
      <c r="X195" s="1783"/>
      <c r="Y195" s="1783"/>
      <c r="Z195" s="1783"/>
      <c r="AA195" s="1739"/>
    </row>
    <row r="196" spans="2:27" ht="42.5" thickBot="1" x14ac:dyDescent="0.35">
      <c r="B196" s="247" t="s">
        <v>1536</v>
      </c>
      <c r="C196" s="248" t="s">
        <v>1509</v>
      </c>
      <c r="D196" s="248" t="s">
        <v>1510</v>
      </c>
      <c r="E196" s="248" t="s">
        <v>219</v>
      </c>
      <c r="F196" s="249" t="s">
        <v>220</v>
      </c>
      <c r="G196" s="247" t="s">
        <v>221</v>
      </c>
      <c r="H196" s="248" t="s">
        <v>222</v>
      </c>
      <c r="I196" s="248" t="s">
        <v>223</v>
      </c>
      <c r="J196" s="248" t="s">
        <v>224</v>
      </c>
      <c r="K196" s="248" t="s">
        <v>225</v>
      </c>
      <c r="L196" s="248" t="s">
        <v>226</v>
      </c>
      <c r="M196" s="248" t="s">
        <v>227</v>
      </c>
      <c r="N196" s="248" t="s">
        <v>228</v>
      </c>
      <c r="O196" s="248" t="s">
        <v>229</v>
      </c>
      <c r="P196" s="248" t="s">
        <v>230</v>
      </c>
      <c r="Q196" s="249" t="s">
        <v>231</v>
      </c>
      <c r="R196" s="252" t="s">
        <v>1537</v>
      </c>
      <c r="S196" s="250" t="s">
        <v>1538</v>
      </c>
      <c r="T196" s="250" t="s">
        <v>1539</v>
      </c>
      <c r="U196" s="250" t="s">
        <v>1540</v>
      </c>
      <c r="V196" s="250" t="s">
        <v>1541</v>
      </c>
      <c r="W196" s="250" t="s">
        <v>1542</v>
      </c>
      <c r="X196" s="250" t="s">
        <v>1543</v>
      </c>
      <c r="Y196" s="250" t="s">
        <v>1544</v>
      </c>
      <c r="Z196" s="250" t="s">
        <v>1545</v>
      </c>
      <c r="AA196" s="251" t="s">
        <v>1546</v>
      </c>
    </row>
    <row r="197" spans="2:27" x14ac:dyDescent="0.3">
      <c r="B197" s="246" t="s">
        <v>1547</v>
      </c>
      <c r="C197" s="237" t="s">
        <v>1512</v>
      </c>
      <c r="D197" s="238" t="s">
        <v>1513</v>
      </c>
      <c r="E197" s="306" t="s">
        <v>1514</v>
      </c>
      <c r="F197" s="303">
        <v>3</v>
      </c>
      <c r="G197" s="417"/>
      <c r="H197" s="418"/>
      <c r="I197" s="418"/>
      <c r="J197" s="418"/>
      <c r="K197" s="418"/>
      <c r="L197" s="418"/>
      <c r="M197" s="307"/>
      <c r="N197" s="307"/>
      <c r="O197" s="307"/>
      <c r="P197" s="307"/>
      <c r="Q197" s="307"/>
      <c r="R197" s="307"/>
      <c r="S197" s="307"/>
      <c r="T197" s="307"/>
      <c r="U197" s="307"/>
      <c r="V197" s="307"/>
      <c r="W197" s="307"/>
      <c r="X197" s="307"/>
      <c r="Y197" s="307"/>
      <c r="Z197" s="307"/>
      <c r="AA197" s="310"/>
    </row>
    <row r="198" spans="2:27" x14ac:dyDescent="0.3">
      <c r="B198" s="240" t="s">
        <v>1548</v>
      </c>
      <c r="C198" s="51" t="s">
        <v>1516</v>
      </c>
      <c r="D198" s="59" t="s">
        <v>1513</v>
      </c>
      <c r="E198" s="304" t="s">
        <v>1514</v>
      </c>
      <c r="F198" s="292">
        <v>3</v>
      </c>
      <c r="G198" s="419"/>
      <c r="H198" s="420"/>
      <c r="I198" s="420"/>
      <c r="J198" s="420"/>
      <c r="K198" s="420"/>
      <c r="L198" s="420"/>
      <c r="M198" s="308"/>
      <c r="N198" s="308"/>
      <c r="O198" s="308"/>
      <c r="P198" s="308"/>
      <c r="Q198" s="308"/>
      <c r="R198" s="308"/>
      <c r="S198" s="308"/>
      <c r="T198" s="308"/>
      <c r="U198" s="308"/>
      <c r="V198" s="308"/>
      <c r="W198" s="308"/>
      <c r="X198" s="308"/>
      <c r="Y198" s="308"/>
      <c r="Z198" s="308"/>
      <c r="AA198" s="311"/>
    </row>
    <row r="199" spans="2:27" ht="14.5" thickBot="1" x14ac:dyDescent="0.35">
      <c r="B199" s="241" t="s">
        <v>1549</v>
      </c>
      <c r="C199" s="52" t="s">
        <v>1550</v>
      </c>
      <c r="D199" s="61" t="s">
        <v>1513</v>
      </c>
      <c r="E199" s="305" t="s">
        <v>1514</v>
      </c>
      <c r="F199" s="293">
        <v>3</v>
      </c>
      <c r="G199" s="309">
        <f t="shared" ref="G199:L199" si="56">SUM(G197:G198)</f>
        <v>0</v>
      </c>
      <c r="H199" s="309">
        <f t="shared" si="56"/>
        <v>0</v>
      </c>
      <c r="I199" s="309">
        <f t="shared" si="56"/>
        <v>0</v>
      </c>
      <c r="J199" s="309">
        <f t="shared" si="56"/>
        <v>0</v>
      </c>
      <c r="K199" s="309">
        <f t="shared" si="56"/>
        <v>0</v>
      </c>
      <c r="L199" s="309">
        <f t="shared" si="56"/>
        <v>0</v>
      </c>
      <c r="M199" s="309">
        <f t="shared" ref="M199:AA199" si="57">SUM(M197:M198)</f>
        <v>0</v>
      </c>
      <c r="N199" s="309">
        <f t="shared" si="57"/>
        <v>0</v>
      </c>
      <c r="O199" s="309">
        <f t="shared" si="57"/>
        <v>0</v>
      </c>
      <c r="P199" s="309">
        <f t="shared" si="57"/>
        <v>0</v>
      </c>
      <c r="Q199" s="309">
        <f t="shared" si="57"/>
        <v>0</v>
      </c>
      <c r="R199" s="309">
        <f t="shared" si="57"/>
        <v>0</v>
      </c>
      <c r="S199" s="309">
        <f t="shared" si="57"/>
        <v>0</v>
      </c>
      <c r="T199" s="309">
        <f t="shared" si="57"/>
        <v>0</v>
      </c>
      <c r="U199" s="309">
        <f t="shared" si="57"/>
        <v>0</v>
      </c>
      <c r="V199" s="309">
        <f t="shared" si="57"/>
        <v>0</v>
      </c>
      <c r="W199" s="309">
        <f t="shared" si="57"/>
        <v>0</v>
      </c>
      <c r="X199" s="309">
        <f t="shared" si="57"/>
        <v>0</v>
      </c>
      <c r="Y199" s="309">
        <f t="shared" si="57"/>
        <v>0</v>
      </c>
      <c r="Z199" s="309">
        <f t="shared" si="57"/>
        <v>0</v>
      </c>
      <c r="AA199" s="312">
        <f t="shared" si="57"/>
        <v>0</v>
      </c>
    </row>
    <row r="200" spans="2:27" ht="14.5" thickBot="1" x14ac:dyDescent="0.35">
      <c r="B200" s="242"/>
      <c r="C200" s="243"/>
      <c r="D200" s="63"/>
      <c r="E200" s="244"/>
      <c r="F200" s="245"/>
      <c r="G200" s="254"/>
      <c r="H200" s="254"/>
      <c r="I200" s="254"/>
      <c r="J200" s="254"/>
      <c r="K200" s="254"/>
      <c r="L200" s="254"/>
      <c r="M200" s="254"/>
      <c r="N200" s="254"/>
      <c r="O200" s="254"/>
      <c r="P200" s="254"/>
      <c r="Q200" s="254"/>
      <c r="R200" s="254"/>
      <c r="S200" s="254"/>
      <c r="T200" s="254"/>
      <c r="U200" s="254"/>
      <c r="V200" s="254"/>
      <c r="W200" s="254"/>
      <c r="X200" s="254"/>
      <c r="Y200" s="254"/>
      <c r="Z200" s="254"/>
      <c r="AA200" s="254"/>
    </row>
    <row r="201" spans="2:27" ht="56.5" thickBot="1" x14ac:dyDescent="0.35">
      <c r="B201" s="206" t="s">
        <v>1551</v>
      </c>
      <c r="G201" s="1738" t="s">
        <v>1534</v>
      </c>
      <c r="H201" s="1783"/>
      <c r="I201" s="1783"/>
      <c r="J201" s="1783"/>
      <c r="K201" s="1783"/>
      <c r="L201" s="1783"/>
      <c r="M201" s="1783"/>
      <c r="N201" s="1783"/>
      <c r="O201" s="1783"/>
      <c r="P201" s="1783"/>
      <c r="Q201" s="1739"/>
      <c r="R201" s="1738" t="s">
        <v>1535</v>
      </c>
      <c r="S201" s="1783"/>
      <c r="T201" s="1783"/>
      <c r="U201" s="1783"/>
      <c r="V201" s="1783"/>
      <c r="W201" s="1783"/>
      <c r="X201" s="1783"/>
      <c r="Y201" s="1783"/>
      <c r="Z201" s="1783"/>
      <c r="AA201" s="1739"/>
    </row>
    <row r="202" spans="2:27" ht="42.5" thickBot="1" x14ac:dyDescent="0.35">
      <c r="B202" s="247" t="s">
        <v>1536</v>
      </c>
      <c r="C202" s="248" t="s">
        <v>1509</v>
      </c>
      <c r="D202" s="248" t="s">
        <v>1510</v>
      </c>
      <c r="E202" s="248" t="s">
        <v>219</v>
      </c>
      <c r="F202" s="249" t="s">
        <v>220</v>
      </c>
      <c r="G202" s="247" t="s">
        <v>221</v>
      </c>
      <c r="H202" s="248" t="s">
        <v>222</v>
      </c>
      <c r="I202" s="248" t="s">
        <v>223</v>
      </c>
      <c r="J202" s="248" t="s">
        <v>224</v>
      </c>
      <c r="K202" s="248" t="s">
        <v>225</v>
      </c>
      <c r="L202" s="248" t="s">
        <v>226</v>
      </c>
      <c r="M202" s="248" t="s">
        <v>227</v>
      </c>
      <c r="N202" s="248" t="s">
        <v>228</v>
      </c>
      <c r="O202" s="248" t="s">
        <v>229</v>
      </c>
      <c r="P202" s="248" t="s">
        <v>230</v>
      </c>
      <c r="Q202" s="249" t="s">
        <v>231</v>
      </c>
      <c r="R202" s="252" t="s">
        <v>1537</v>
      </c>
      <c r="S202" s="250" t="s">
        <v>1538</v>
      </c>
      <c r="T202" s="250" t="s">
        <v>1539</v>
      </c>
      <c r="U202" s="250" t="s">
        <v>1540</v>
      </c>
      <c r="V202" s="250" t="s">
        <v>1541</v>
      </c>
      <c r="W202" s="250" t="s">
        <v>1542</v>
      </c>
      <c r="X202" s="250" t="s">
        <v>1543</v>
      </c>
      <c r="Y202" s="250" t="s">
        <v>1544</v>
      </c>
      <c r="Z202" s="250" t="s">
        <v>1545</v>
      </c>
      <c r="AA202" s="251" t="s">
        <v>1546</v>
      </c>
    </row>
    <row r="203" spans="2:27" x14ac:dyDescent="0.3">
      <c r="B203" s="239" t="s">
        <v>1552</v>
      </c>
      <c r="C203" s="51" t="s">
        <v>1553</v>
      </c>
      <c r="D203" s="59" t="s">
        <v>1322</v>
      </c>
      <c r="E203" s="304" t="s">
        <v>1514</v>
      </c>
      <c r="F203" s="292">
        <v>3</v>
      </c>
      <c r="G203" s="419"/>
      <c r="H203" s="419"/>
      <c r="I203" s="419"/>
      <c r="J203" s="419"/>
      <c r="K203" s="419"/>
      <c r="L203" s="419"/>
      <c r="M203" s="1617">
        <v>2.4853999999999998</v>
      </c>
      <c r="N203" s="1617">
        <v>2.4853999999999998</v>
      </c>
      <c r="O203" s="1617">
        <v>2.4853999999999998</v>
      </c>
      <c r="P203" s="1617">
        <v>2.4853999999999998</v>
      </c>
      <c r="Q203" s="1617">
        <v>2.4853999999999998</v>
      </c>
      <c r="R203" s="1614">
        <v>120.602</v>
      </c>
      <c r="S203" s="1614">
        <v>121.2385</v>
      </c>
      <c r="T203" s="308">
        <v>0</v>
      </c>
      <c r="U203" s="308">
        <v>0</v>
      </c>
      <c r="V203" s="308">
        <v>0</v>
      </c>
      <c r="W203" s="308">
        <v>0</v>
      </c>
      <c r="X203" s="308">
        <v>0</v>
      </c>
      <c r="Y203" s="308">
        <v>0</v>
      </c>
      <c r="Z203" s="308">
        <v>0</v>
      </c>
      <c r="AA203" s="311">
        <v>0</v>
      </c>
    </row>
    <row r="204" spans="2:27" x14ac:dyDescent="0.3">
      <c r="B204" s="240" t="s">
        <v>1554</v>
      </c>
      <c r="C204" s="51" t="s">
        <v>1553</v>
      </c>
      <c r="D204" s="59" t="s">
        <v>1317</v>
      </c>
      <c r="E204" s="304" t="s">
        <v>1514</v>
      </c>
      <c r="F204" s="292">
        <v>3</v>
      </c>
      <c r="G204" s="419"/>
      <c r="H204" s="419"/>
      <c r="I204" s="419"/>
      <c r="J204" s="419"/>
      <c r="K204" s="419"/>
      <c r="L204" s="419"/>
      <c r="M204" s="1617">
        <v>0</v>
      </c>
      <c r="N204" s="1617">
        <v>0</v>
      </c>
      <c r="O204" s="1617">
        <v>0</v>
      </c>
      <c r="P204" s="1617">
        <v>0</v>
      </c>
      <c r="Q204" s="1617">
        <v>0</v>
      </c>
      <c r="R204" s="1614">
        <v>63.2</v>
      </c>
      <c r="S204" s="1614">
        <v>15.8805</v>
      </c>
      <c r="T204" s="308">
        <v>9.0429999999999993</v>
      </c>
      <c r="U204" s="308">
        <v>9.0429999999999993</v>
      </c>
      <c r="V204" s="308">
        <v>9.0429999999999993</v>
      </c>
      <c r="W204" s="308">
        <v>9.0429999999999993</v>
      </c>
      <c r="X204" s="308">
        <v>9.0429999999999993</v>
      </c>
      <c r="Y204" s="308">
        <v>9.0429999999999993</v>
      </c>
      <c r="Z204" s="308">
        <v>9.0429999999999993</v>
      </c>
      <c r="AA204" s="308">
        <v>9.0429999999999993</v>
      </c>
    </row>
    <row r="205" spans="2:27" x14ac:dyDescent="0.3">
      <c r="B205" s="240" t="s">
        <v>1555</v>
      </c>
      <c r="C205" s="51" t="s">
        <v>1553</v>
      </c>
      <c r="D205" s="59" t="s">
        <v>1513</v>
      </c>
      <c r="E205" s="304" t="s">
        <v>1514</v>
      </c>
      <c r="F205" s="292">
        <v>3</v>
      </c>
      <c r="G205" s="313">
        <f t="shared" ref="G205:L205" si="58">SUM(G203:G204)</f>
        <v>0</v>
      </c>
      <c r="H205" s="313">
        <f t="shared" si="58"/>
        <v>0</v>
      </c>
      <c r="I205" s="313">
        <f t="shared" si="58"/>
        <v>0</v>
      </c>
      <c r="J205" s="313">
        <f t="shared" si="58"/>
        <v>0</v>
      </c>
      <c r="K205" s="313">
        <f t="shared" si="58"/>
        <v>0</v>
      </c>
      <c r="L205" s="313">
        <f t="shared" si="58"/>
        <v>0</v>
      </c>
      <c r="M205" s="313">
        <f t="shared" ref="M205:AA205" si="59">SUM(M203:M204)</f>
        <v>2.4853999999999998</v>
      </c>
      <c r="N205" s="313">
        <f t="shared" si="59"/>
        <v>2.4853999999999998</v>
      </c>
      <c r="O205" s="313">
        <f t="shared" si="59"/>
        <v>2.4853999999999998</v>
      </c>
      <c r="P205" s="313">
        <f t="shared" si="59"/>
        <v>2.4853999999999998</v>
      </c>
      <c r="Q205" s="313">
        <f t="shared" si="59"/>
        <v>2.4853999999999998</v>
      </c>
      <c r="R205" s="313">
        <f t="shared" si="59"/>
        <v>183.80200000000002</v>
      </c>
      <c r="S205" s="313">
        <f t="shared" si="59"/>
        <v>137.119</v>
      </c>
      <c r="T205" s="313">
        <f t="shared" si="59"/>
        <v>9.0429999999999993</v>
      </c>
      <c r="U205" s="313">
        <f t="shared" si="59"/>
        <v>9.0429999999999993</v>
      </c>
      <c r="V205" s="313">
        <f t="shared" si="59"/>
        <v>9.0429999999999993</v>
      </c>
      <c r="W205" s="313">
        <f t="shared" si="59"/>
        <v>9.0429999999999993</v>
      </c>
      <c r="X205" s="313">
        <f t="shared" si="59"/>
        <v>9.0429999999999993</v>
      </c>
      <c r="Y205" s="313">
        <f t="shared" si="59"/>
        <v>9.0429999999999993</v>
      </c>
      <c r="Z205" s="313">
        <f t="shared" si="59"/>
        <v>9.0429999999999993</v>
      </c>
      <c r="AA205" s="314">
        <f t="shared" si="59"/>
        <v>9.0429999999999993</v>
      </c>
    </row>
    <row r="206" spans="2:27" x14ac:dyDescent="0.3">
      <c r="B206" s="239" t="s">
        <v>1556</v>
      </c>
      <c r="C206" s="51" t="s">
        <v>1557</v>
      </c>
      <c r="D206" s="59" t="s">
        <v>1322</v>
      </c>
      <c r="E206" s="304" t="s">
        <v>1514</v>
      </c>
      <c r="F206" s="292">
        <v>3</v>
      </c>
      <c r="G206" s="419"/>
      <c r="H206" s="420"/>
      <c r="I206" s="420"/>
      <c r="J206" s="420"/>
      <c r="K206" s="420"/>
      <c r="L206" s="420"/>
      <c r="M206" s="1614">
        <v>0.53300000000000003</v>
      </c>
      <c r="N206" s="1614">
        <v>0.53300000000000003</v>
      </c>
      <c r="O206" s="1614">
        <v>0.53300000000000003</v>
      </c>
      <c r="P206" s="1614">
        <v>0.53300000000000003</v>
      </c>
      <c r="Q206" s="1614">
        <v>0.53300000000000003</v>
      </c>
      <c r="R206" s="1614">
        <v>0.23400000000000001</v>
      </c>
      <c r="S206" s="1614">
        <v>0.13</v>
      </c>
      <c r="T206" s="1614">
        <v>0.13</v>
      </c>
      <c r="U206" s="1614">
        <v>0.13</v>
      </c>
      <c r="V206" s="308">
        <v>0</v>
      </c>
      <c r="W206" s="308">
        <v>0</v>
      </c>
      <c r="X206" s="308">
        <v>0</v>
      </c>
      <c r="Y206" s="308">
        <v>0</v>
      </c>
      <c r="Z206" s="308">
        <v>0</v>
      </c>
      <c r="AA206" s="308">
        <v>0</v>
      </c>
    </row>
    <row r="207" spans="2:27" x14ac:dyDescent="0.3">
      <c r="B207" s="240" t="s">
        <v>1558</v>
      </c>
      <c r="C207" s="51" t="s">
        <v>1557</v>
      </c>
      <c r="D207" s="59" t="s">
        <v>1317</v>
      </c>
      <c r="E207" s="304" t="s">
        <v>1514</v>
      </c>
      <c r="F207" s="292">
        <v>3</v>
      </c>
      <c r="G207" s="419"/>
      <c r="H207" s="420"/>
      <c r="I207" s="420"/>
      <c r="J207" s="420"/>
      <c r="K207" s="420"/>
      <c r="L207" s="420"/>
      <c r="M207" s="1614">
        <v>0.34699999999999998</v>
      </c>
      <c r="N207" s="1614">
        <v>0.34699999999999998</v>
      </c>
      <c r="O207" s="1614">
        <v>0.34699999999999998</v>
      </c>
      <c r="P207" s="1614">
        <v>0.34699999999999998</v>
      </c>
      <c r="Q207" s="1614">
        <v>0.34699999999999998</v>
      </c>
      <c r="R207" s="1614">
        <v>0.56600000000000006</v>
      </c>
      <c r="S207" s="1614">
        <v>3.07</v>
      </c>
      <c r="T207" s="1614">
        <v>7.0000000000000007E-2</v>
      </c>
      <c r="U207" s="1614">
        <v>0.17</v>
      </c>
      <c r="V207" s="308">
        <v>0</v>
      </c>
      <c r="W207" s="308">
        <v>0</v>
      </c>
      <c r="X207" s="308">
        <v>0</v>
      </c>
      <c r="Y207" s="308">
        <v>0</v>
      </c>
      <c r="Z207" s="308">
        <v>0</v>
      </c>
      <c r="AA207" s="308">
        <v>0</v>
      </c>
    </row>
    <row r="208" spans="2:27" x14ac:dyDescent="0.3">
      <c r="B208" s="240" t="s">
        <v>1559</v>
      </c>
      <c r="C208" s="51" t="s">
        <v>1557</v>
      </c>
      <c r="D208" s="59" t="s">
        <v>1513</v>
      </c>
      <c r="E208" s="304" t="s">
        <v>1514</v>
      </c>
      <c r="F208" s="292">
        <v>3</v>
      </c>
      <c r="G208" s="313">
        <f t="shared" ref="G208:AA208" si="60">SUM(G206:G207)</f>
        <v>0</v>
      </c>
      <c r="H208" s="313">
        <f t="shared" si="60"/>
        <v>0</v>
      </c>
      <c r="I208" s="313">
        <f t="shared" si="60"/>
        <v>0</v>
      </c>
      <c r="J208" s="313">
        <f t="shared" si="60"/>
        <v>0</v>
      </c>
      <c r="K208" s="313">
        <f t="shared" si="60"/>
        <v>0</v>
      </c>
      <c r="L208" s="313">
        <f t="shared" si="60"/>
        <v>0</v>
      </c>
      <c r="M208" s="313">
        <f t="shared" si="60"/>
        <v>0.88</v>
      </c>
      <c r="N208" s="313">
        <f t="shared" si="60"/>
        <v>0.88</v>
      </c>
      <c r="O208" s="313">
        <f t="shared" si="60"/>
        <v>0.88</v>
      </c>
      <c r="P208" s="313">
        <f t="shared" si="60"/>
        <v>0.88</v>
      </c>
      <c r="Q208" s="313">
        <f t="shared" si="60"/>
        <v>0.88</v>
      </c>
      <c r="R208" s="313">
        <f t="shared" si="60"/>
        <v>0.8</v>
      </c>
      <c r="S208" s="313">
        <f t="shared" si="60"/>
        <v>3.1999999999999997</v>
      </c>
      <c r="T208" s="313">
        <f t="shared" si="60"/>
        <v>0.2</v>
      </c>
      <c r="U208" s="313">
        <f t="shared" si="60"/>
        <v>0.30000000000000004</v>
      </c>
      <c r="V208" s="313">
        <f t="shared" si="60"/>
        <v>0</v>
      </c>
      <c r="W208" s="313">
        <f t="shared" si="60"/>
        <v>0</v>
      </c>
      <c r="X208" s="313">
        <f t="shared" si="60"/>
        <v>0</v>
      </c>
      <c r="Y208" s="313">
        <f t="shared" si="60"/>
        <v>0</v>
      </c>
      <c r="Z208" s="313">
        <f t="shared" si="60"/>
        <v>0</v>
      </c>
      <c r="AA208" s="314">
        <f t="shared" si="60"/>
        <v>0</v>
      </c>
    </row>
    <row r="209" spans="2:27" x14ac:dyDescent="0.3">
      <c r="B209" s="239" t="s">
        <v>1560</v>
      </c>
      <c r="C209" s="51" t="s">
        <v>1561</v>
      </c>
      <c r="D209" s="59" t="s">
        <v>1322</v>
      </c>
      <c r="E209" s="304" t="s">
        <v>1514</v>
      </c>
      <c r="F209" s="292">
        <v>3</v>
      </c>
      <c r="G209" s="419"/>
      <c r="H209" s="420"/>
      <c r="I209" s="420"/>
      <c r="J209" s="420"/>
      <c r="K209" s="420"/>
      <c r="L209" s="420"/>
      <c r="M209" s="308">
        <v>0.20400000000000001</v>
      </c>
      <c r="N209" s="308">
        <v>0.20400000000000001</v>
      </c>
      <c r="O209" s="308">
        <v>0.20400000000000001</v>
      </c>
      <c r="P209" s="308">
        <v>0.20400000000000001</v>
      </c>
      <c r="Q209" s="308">
        <v>0.20400000000000001</v>
      </c>
      <c r="R209" s="308">
        <v>1.0149999999999999</v>
      </c>
      <c r="S209" s="308">
        <v>11.834999999999999</v>
      </c>
      <c r="T209" s="308">
        <v>4.2924999999999995</v>
      </c>
      <c r="U209" s="308">
        <v>0.755</v>
      </c>
      <c r="V209" s="308">
        <v>0</v>
      </c>
      <c r="W209" s="308">
        <v>0</v>
      </c>
      <c r="X209" s="308">
        <v>0</v>
      </c>
      <c r="Y209" s="308">
        <v>0</v>
      </c>
      <c r="Z209" s="308">
        <v>0</v>
      </c>
      <c r="AA209" s="308">
        <v>0</v>
      </c>
    </row>
    <row r="210" spans="2:27" x14ac:dyDescent="0.3">
      <c r="B210" s="240" t="s">
        <v>1562</v>
      </c>
      <c r="C210" s="51" t="s">
        <v>1561</v>
      </c>
      <c r="D210" s="59" t="s">
        <v>1317</v>
      </c>
      <c r="E210" s="304" t="s">
        <v>1514</v>
      </c>
      <c r="F210" s="292">
        <v>3</v>
      </c>
      <c r="G210" s="419"/>
      <c r="H210" s="420"/>
      <c r="I210" s="420"/>
      <c r="J210" s="420"/>
      <c r="K210" s="420"/>
      <c r="L210" s="420"/>
      <c r="M210" s="308">
        <v>0.504</v>
      </c>
      <c r="N210" s="308">
        <v>0.504</v>
      </c>
      <c r="O210" s="308">
        <v>0.504</v>
      </c>
      <c r="P210" s="308">
        <v>0.504</v>
      </c>
      <c r="Q210" s="308">
        <v>0.504</v>
      </c>
      <c r="R210" s="308">
        <v>1.355</v>
      </c>
      <c r="S210" s="308">
        <v>0.47500000000000003</v>
      </c>
      <c r="T210" s="308">
        <v>0.13750000000000001</v>
      </c>
      <c r="U210" s="308">
        <v>7.4999999999999997E-2</v>
      </c>
      <c r="V210" s="308">
        <v>0</v>
      </c>
      <c r="W210" s="308">
        <v>0</v>
      </c>
      <c r="X210" s="308">
        <v>0</v>
      </c>
      <c r="Y210" s="308">
        <v>0</v>
      </c>
      <c r="Z210" s="308">
        <v>0</v>
      </c>
      <c r="AA210" s="308">
        <v>0</v>
      </c>
    </row>
    <row r="211" spans="2:27" x14ac:dyDescent="0.3">
      <c r="B211" s="240" t="s">
        <v>1563</v>
      </c>
      <c r="C211" s="51" t="s">
        <v>1561</v>
      </c>
      <c r="D211" s="59" t="s">
        <v>1513</v>
      </c>
      <c r="E211" s="304" t="s">
        <v>1514</v>
      </c>
      <c r="F211" s="292">
        <v>3</v>
      </c>
      <c r="G211" s="313">
        <f t="shared" ref="G211:AA211" si="61">SUM(G209:G210)</f>
        <v>0</v>
      </c>
      <c r="H211" s="313">
        <f t="shared" si="61"/>
        <v>0</v>
      </c>
      <c r="I211" s="313">
        <f t="shared" si="61"/>
        <v>0</v>
      </c>
      <c r="J211" s="313">
        <f t="shared" si="61"/>
        <v>0</v>
      </c>
      <c r="K211" s="313">
        <f t="shared" si="61"/>
        <v>0</v>
      </c>
      <c r="L211" s="313">
        <f t="shared" si="61"/>
        <v>0</v>
      </c>
      <c r="M211" s="313">
        <f t="shared" si="61"/>
        <v>0.70799999999999996</v>
      </c>
      <c r="N211" s="313">
        <f t="shared" si="61"/>
        <v>0.70799999999999996</v>
      </c>
      <c r="O211" s="313">
        <f t="shared" si="61"/>
        <v>0.70799999999999996</v>
      </c>
      <c r="P211" s="313">
        <f t="shared" si="61"/>
        <v>0.70799999999999996</v>
      </c>
      <c r="Q211" s="313">
        <f t="shared" si="61"/>
        <v>0.70799999999999996</v>
      </c>
      <c r="R211" s="313">
        <f t="shared" si="61"/>
        <v>2.37</v>
      </c>
      <c r="S211" s="313">
        <f t="shared" si="61"/>
        <v>12.309999999999999</v>
      </c>
      <c r="T211" s="313">
        <f t="shared" si="61"/>
        <v>4.43</v>
      </c>
      <c r="U211" s="313">
        <f t="shared" si="61"/>
        <v>0.83</v>
      </c>
      <c r="V211" s="313">
        <f t="shared" si="61"/>
        <v>0</v>
      </c>
      <c r="W211" s="313">
        <f t="shared" si="61"/>
        <v>0</v>
      </c>
      <c r="X211" s="313">
        <f t="shared" si="61"/>
        <v>0</v>
      </c>
      <c r="Y211" s="313">
        <f t="shared" si="61"/>
        <v>0</v>
      </c>
      <c r="Z211" s="313">
        <f t="shared" si="61"/>
        <v>0</v>
      </c>
      <c r="AA211" s="314">
        <f t="shared" si="61"/>
        <v>0</v>
      </c>
    </row>
    <row r="212" spans="2:27" x14ac:dyDescent="0.3">
      <c r="B212" s="239" t="s">
        <v>1564</v>
      </c>
      <c r="C212" s="51" t="s">
        <v>1565</v>
      </c>
      <c r="D212" s="59" t="s">
        <v>1322</v>
      </c>
      <c r="E212" s="304" t="s">
        <v>1514</v>
      </c>
      <c r="F212" s="292">
        <v>3</v>
      </c>
      <c r="G212" s="419"/>
      <c r="H212" s="420"/>
      <c r="I212" s="420"/>
      <c r="J212" s="420"/>
      <c r="K212" s="420"/>
      <c r="L212" s="420"/>
      <c r="M212" s="308">
        <v>0</v>
      </c>
      <c r="N212" s="308">
        <v>0</v>
      </c>
      <c r="O212" s="308">
        <v>0</v>
      </c>
      <c r="P212" s="308">
        <v>0</v>
      </c>
      <c r="Q212" s="308">
        <v>0</v>
      </c>
      <c r="R212" s="308">
        <v>0</v>
      </c>
      <c r="S212" s="308">
        <v>0</v>
      </c>
      <c r="T212" s="308">
        <v>0</v>
      </c>
      <c r="U212" s="308">
        <v>0</v>
      </c>
      <c r="V212" s="308">
        <v>0</v>
      </c>
      <c r="W212" s="308">
        <v>0</v>
      </c>
      <c r="X212" s="308">
        <v>0</v>
      </c>
      <c r="Y212" s="308">
        <v>0</v>
      </c>
      <c r="Z212" s="308">
        <v>0</v>
      </c>
      <c r="AA212" s="308">
        <v>0</v>
      </c>
    </row>
    <row r="213" spans="2:27" x14ac:dyDescent="0.3">
      <c r="B213" s="240" t="s">
        <v>1566</v>
      </c>
      <c r="C213" s="51" t="s">
        <v>1565</v>
      </c>
      <c r="D213" s="59" t="s">
        <v>1317</v>
      </c>
      <c r="E213" s="304" t="s">
        <v>1514</v>
      </c>
      <c r="F213" s="292">
        <v>3</v>
      </c>
      <c r="G213" s="419"/>
      <c r="H213" s="420"/>
      <c r="I213" s="420"/>
      <c r="J213" s="420"/>
      <c r="K213" s="420"/>
      <c r="L213" s="420"/>
      <c r="M213" s="308">
        <v>0</v>
      </c>
      <c r="N213" s="308">
        <v>0</v>
      </c>
      <c r="O213" s="308">
        <v>0</v>
      </c>
      <c r="P213" s="308">
        <v>0</v>
      </c>
      <c r="Q213" s="308">
        <v>0</v>
      </c>
      <c r="R213" s="308">
        <v>0</v>
      </c>
      <c r="S213" s="308">
        <v>0</v>
      </c>
      <c r="T213" s="308">
        <v>0</v>
      </c>
      <c r="U213" s="308">
        <v>0</v>
      </c>
      <c r="V213" s="308">
        <v>0</v>
      </c>
      <c r="W213" s="308">
        <v>0</v>
      </c>
      <c r="X213" s="308">
        <v>0</v>
      </c>
      <c r="Y213" s="308">
        <v>0</v>
      </c>
      <c r="Z213" s="308">
        <v>0</v>
      </c>
      <c r="AA213" s="308">
        <v>0</v>
      </c>
    </row>
    <row r="214" spans="2:27" x14ac:dyDescent="0.3">
      <c r="B214" s="240" t="s">
        <v>1567</v>
      </c>
      <c r="C214" s="51" t="s">
        <v>1565</v>
      </c>
      <c r="D214" s="59" t="s">
        <v>1513</v>
      </c>
      <c r="E214" s="304" t="s">
        <v>1514</v>
      </c>
      <c r="F214" s="292">
        <v>3</v>
      </c>
      <c r="G214" s="313">
        <f t="shared" ref="G214:AA214" si="62">SUM(G212:G213)</f>
        <v>0</v>
      </c>
      <c r="H214" s="313">
        <f t="shared" si="62"/>
        <v>0</v>
      </c>
      <c r="I214" s="313">
        <f t="shared" si="62"/>
        <v>0</v>
      </c>
      <c r="J214" s="313">
        <f t="shared" si="62"/>
        <v>0</v>
      </c>
      <c r="K214" s="313">
        <f t="shared" si="62"/>
        <v>0</v>
      </c>
      <c r="L214" s="313">
        <f t="shared" si="62"/>
        <v>0</v>
      </c>
      <c r="M214" s="313">
        <f t="shared" si="62"/>
        <v>0</v>
      </c>
      <c r="N214" s="313">
        <f t="shared" si="62"/>
        <v>0</v>
      </c>
      <c r="O214" s="313">
        <f t="shared" si="62"/>
        <v>0</v>
      </c>
      <c r="P214" s="313">
        <f t="shared" si="62"/>
        <v>0</v>
      </c>
      <c r="Q214" s="313">
        <f t="shared" si="62"/>
        <v>0</v>
      </c>
      <c r="R214" s="313">
        <f t="shared" si="62"/>
        <v>0</v>
      </c>
      <c r="S214" s="313">
        <f t="shared" si="62"/>
        <v>0</v>
      </c>
      <c r="T214" s="313">
        <f t="shared" si="62"/>
        <v>0</v>
      </c>
      <c r="U214" s="313">
        <f t="shared" si="62"/>
        <v>0</v>
      </c>
      <c r="V214" s="313">
        <f t="shared" si="62"/>
        <v>0</v>
      </c>
      <c r="W214" s="313">
        <f t="shared" si="62"/>
        <v>0</v>
      </c>
      <c r="X214" s="313">
        <f t="shared" si="62"/>
        <v>0</v>
      </c>
      <c r="Y214" s="313">
        <f t="shared" si="62"/>
        <v>0</v>
      </c>
      <c r="Z214" s="313">
        <f t="shared" si="62"/>
        <v>0</v>
      </c>
      <c r="AA214" s="314">
        <f t="shared" si="62"/>
        <v>0</v>
      </c>
    </row>
    <row r="215" spans="2:27" x14ac:dyDescent="0.3">
      <c r="B215" s="239" t="s">
        <v>1568</v>
      </c>
      <c r="C215" s="51" t="s">
        <v>1569</v>
      </c>
      <c r="D215" s="59" t="s">
        <v>1322</v>
      </c>
      <c r="E215" s="304" t="s">
        <v>1514</v>
      </c>
      <c r="F215" s="292">
        <v>3</v>
      </c>
      <c r="G215" s="419"/>
      <c r="H215" s="420"/>
      <c r="I215" s="420"/>
      <c r="J215" s="420"/>
      <c r="K215" s="420"/>
      <c r="L215" s="420"/>
      <c r="M215" s="308">
        <v>23.33</v>
      </c>
      <c r="N215" s="308">
        <v>23.33</v>
      </c>
      <c r="O215" s="308">
        <v>23.33</v>
      </c>
      <c r="P215" s="308">
        <v>0</v>
      </c>
      <c r="Q215" s="308">
        <v>163.33000000000001</v>
      </c>
      <c r="R215" s="308">
        <v>816.66700000000003</v>
      </c>
      <c r="S215" s="308">
        <v>0</v>
      </c>
      <c r="T215" s="308">
        <v>0</v>
      </c>
      <c r="U215" s="308">
        <v>0</v>
      </c>
      <c r="V215" s="308">
        <v>0</v>
      </c>
      <c r="W215" s="308">
        <v>0</v>
      </c>
      <c r="X215" s="308">
        <v>0</v>
      </c>
      <c r="Y215" s="308">
        <v>0</v>
      </c>
      <c r="Z215" s="308">
        <v>0</v>
      </c>
      <c r="AA215" s="308">
        <v>0</v>
      </c>
    </row>
    <row r="216" spans="2:27" x14ac:dyDescent="0.3">
      <c r="B216" s="240" t="s">
        <v>1570</v>
      </c>
      <c r="C216" s="51" t="s">
        <v>1569</v>
      </c>
      <c r="D216" s="59" t="s">
        <v>1317</v>
      </c>
      <c r="E216" s="304" t="s">
        <v>1514</v>
      </c>
      <c r="F216" s="292">
        <v>3</v>
      </c>
      <c r="G216" s="419"/>
      <c r="H216" s="420"/>
      <c r="I216" s="420"/>
      <c r="J216" s="420"/>
      <c r="K216" s="420"/>
      <c r="L216" s="420"/>
      <c r="M216" s="308">
        <v>0</v>
      </c>
      <c r="N216" s="308">
        <v>0</v>
      </c>
      <c r="O216" s="308">
        <v>0</v>
      </c>
      <c r="P216" s="308">
        <v>0</v>
      </c>
      <c r="Q216" s="308">
        <v>0</v>
      </c>
      <c r="R216" s="308">
        <v>0</v>
      </c>
      <c r="S216" s="1614">
        <v>6.048</v>
      </c>
      <c r="T216" s="1614">
        <v>6.048</v>
      </c>
      <c r="U216" s="1614">
        <v>6.048</v>
      </c>
      <c r="V216" s="1614">
        <v>6.048</v>
      </c>
      <c r="W216" s="1614">
        <v>6.048</v>
      </c>
      <c r="X216" s="1614">
        <v>6.048</v>
      </c>
      <c r="Y216" s="1614">
        <v>6.048</v>
      </c>
      <c r="Z216" s="1614">
        <v>6.048</v>
      </c>
      <c r="AA216" s="1614">
        <v>6.048</v>
      </c>
    </row>
    <row r="217" spans="2:27" x14ac:dyDescent="0.3">
      <c r="B217" s="240" t="s">
        <v>1571</v>
      </c>
      <c r="C217" s="51" t="s">
        <v>1569</v>
      </c>
      <c r="D217" s="59" t="s">
        <v>1513</v>
      </c>
      <c r="E217" s="304" t="s">
        <v>1514</v>
      </c>
      <c r="F217" s="292">
        <v>3</v>
      </c>
      <c r="G217" s="313">
        <f t="shared" ref="G217:AA217" si="63">SUM(G215:G216)</f>
        <v>0</v>
      </c>
      <c r="H217" s="313">
        <f t="shared" si="63"/>
        <v>0</v>
      </c>
      <c r="I217" s="313">
        <f t="shared" si="63"/>
        <v>0</v>
      </c>
      <c r="J217" s="313">
        <f t="shared" si="63"/>
        <v>0</v>
      </c>
      <c r="K217" s="313">
        <f t="shared" si="63"/>
        <v>0</v>
      </c>
      <c r="L217" s="313">
        <f t="shared" si="63"/>
        <v>0</v>
      </c>
      <c r="M217" s="313">
        <f t="shared" si="63"/>
        <v>23.33</v>
      </c>
      <c r="N217" s="313">
        <f t="shared" si="63"/>
        <v>23.33</v>
      </c>
      <c r="O217" s="313">
        <f t="shared" si="63"/>
        <v>23.33</v>
      </c>
      <c r="P217" s="313">
        <f t="shared" si="63"/>
        <v>0</v>
      </c>
      <c r="Q217" s="313">
        <f t="shared" si="63"/>
        <v>163.33000000000001</v>
      </c>
      <c r="R217" s="313">
        <f t="shared" si="63"/>
        <v>816.66700000000003</v>
      </c>
      <c r="S217" s="313">
        <f t="shared" si="63"/>
        <v>6.048</v>
      </c>
      <c r="T217" s="313">
        <f t="shared" si="63"/>
        <v>6.048</v>
      </c>
      <c r="U217" s="313">
        <f t="shared" si="63"/>
        <v>6.048</v>
      </c>
      <c r="V217" s="313">
        <f t="shared" si="63"/>
        <v>6.048</v>
      </c>
      <c r="W217" s="313">
        <f t="shared" si="63"/>
        <v>6.048</v>
      </c>
      <c r="X217" s="313">
        <f t="shared" si="63"/>
        <v>6.048</v>
      </c>
      <c r="Y217" s="313">
        <f t="shared" si="63"/>
        <v>6.048</v>
      </c>
      <c r="Z217" s="313">
        <f t="shared" si="63"/>
        <v>6.048</v>
      </c>
      <c r="AA217" s="314">
        <f t="shared" si="63"/>
        <v>6.048</v>
      </c>
    </row>
    <row r="218" spans="2:27" ht="14.5" thickBot="1" x14ac:dyDescent="0.35">
      <c r="B218" s="241" t="s">
        <v>1572</v>
      </c>
      <c r="C218" s="52" t="s">
        <v>1573</v>
      </c>
      <c r="D218" s="61" t="s">
        <v>1513</v>
      </c>
      <c r="E218" s="305" t="s">
        <v>1514</v>
      </c>
      <c r="F218" s="293">
        <v>3</v>
      </c>
      <c r="G218" s="309">
        <f t="shared" ref="G218:AA218" si="64">SUM(G217,G214,G211,G208,G205)</f>
        <v>0</v>
      </c>
      <c r="H218" s="309">
        <f t="shared" si="64"/>
        <v>0</v>
      </c>
      <c r="I218" s="309">
        <f t="shared" si="64"/>
        <v>0</v>
      </c>
      <c r="J218" s="309">
        <f t="shared" si="64"/>
        <v>0</v>
      </c>
      <c r="K218" s="309">
        <f t="shared" si="64"/>
        <v>0</v>
      </c>
      <c r="L218" s="309">
        <f t="shared" si="64"/>
        <v>0</v>
      </c>
      <c r="M218" s="309">
        <f t="shared" si="64"/>
        <v>27.403399999999994</v>
      </c>
      <c r="N218" s="309">
        <f t="shared" si="64"/>
        <v>27.403399999999994</v>
      </c>
      <c r="O218" s="309">
        <f t="shared" si="64"/>
        <v>27.403399999999994</v>
      </c>
      <c r="P218" s="309">
        <f t="shared" si="64"/>
        <v>4.0733999999999995</v>
      </c>
      <c r="Q218" s="309">
        <f t="shared" si="64"/>
        <v>167.4034</v>
      </c>
      <c r="R218" s="309">
        <f t="shared" si="64"/>
        <v>1003.639</v>
      </c>
      <c r="S218" s="309">
        <f t="shared" si="64"/>
        <v>158.67699999999999</v>
      </c>
      <c r="T218" s="309">
        <f t="shared" si="64"/>
        <v>19.720999999999997</v>
      </c>
      <c r="U218" s="309">
        <f t="shared" si="64"/>
        <v>16.221</v>
      </c>
      <c r="V218" s="309">
        <f t="shared" si="64"/>
        <v>15.090999999999999</v>
      </c>
      <c r="W218" s="309">
        <f t="shared" si="64"/>
        <v>15.090999999999999</v>
      </c>
      <c r="X218" s="309">
        <f t="shared" si="64"/>
        <v>15.090999999999999</v>
      </c>
      <c r="Y218" s="309">
        <f t="shared" si="64"/>
        <v>15.090999999999999</v>
      </c>
      <c r="Z218" s="309">
        <f t="shared" si="64"/>
        <v>15.090999999999999</v>
      </c>
      <c r="AA218" s="312">
        <f t="shared" si="64"/>
        <v>15.090999999999999</v>
      </c>
    </row>
    <row r="219" spans="2:27" ht="14.5" thickBot="1" x14ac:dyDescent="0.35">
      <c r="B219" s="242"/>
      <c r="C219" s="243"/>
      <c r="D219" s="63"/>
      <c r="E219" s="244"/>
      <c r="F219" s="245"/>
      <c r="G219" s="254"/>
      <c r="H219" s="254"/>
      <c r="I219" s="254"/>
      <c r="J219" s="254"/>
      <c r="K219" s="254"/>
      <c r="L219" s="254"/>
      <c r="M219" s="254"/>
      <c r="N219" s="254"/>
      <c r="O219" s="254"/>
      <c r="P219" s="254"/>
      <c r="Q219" s="254"/>
      <c r="R219" s="254"/>
      <c r="S219" s="254"/>
      <c r="T219" s="254"/>
      <c r="U219" s="254"/>
      <c r="V219" s="254"/>
      <c r="W219" s="254"/>
      <c r="X219" s="254"/>
      <c r="Y219" s="254"/>
      <c r="Z219" s="254"/>
      <c r="AA219" s="254"/>
    </row>
    <row r="220" spans="2:27" ht="56.5" thickBot="1" x14ac:dyDescent="0.35">
      <c r="B220" s="206" t="s">
        <v>1574</v>
      </c>
      <c r="G220" s="1738" t="s">
        <v>1534</v>
      </c>
      <c r="H220" s="1783"/>
      <c r="I220" s="1783"/>
      <c r="J220" s="1783"/>
      <c r="K220" s="1783"/>
      <c r="L220" s="1783"/>
      <c r="M220" s="1783"/>
      <c r="N220" s="1783"/>
      <c r="O220" s="1783"/>
      <c r="P220" s="1783"/>
      <c r="Q220" s="1739"/>
      <c r="R220" s="1738" t="s">
        <v>1535</v>
      </c>
      <c r="S220" s="1783"/>
      <c r="T220" s="1783"/>
      <c r="U220" s="1783"/>
      <c r="V220" s="1783"/>
      <c r="W220" s="1783"/>
      <c r="X220" s="1783"/>
      <c r="Y220" s="1783"/>
      <c r="Z220" s="1783"/>
      <c r="AA220" s="1739"/>
    </row>
    <row r="221" spans="2:27" ht="42.5" thickBot="1" x14ac:dyDescent="0.35">
      <c r="B221" s="1183" t="s">
        <v>1536</v>
      </c>
      <c r="C221" s="1184" t="s">
        <v>1509</v>
      </c>
      <c r="D221" s="1184" t="s">
        <v>1510</v>
      </c>
      <c r="E221" s="1184" t="s">
        <v>219</v>
      </c>
      <c r="F221" s="1185" t="s">
        <v>220</v>
      </c>
      <c r="G221" s="247" t="s">
        <v>221</v>
      </c>
      <c r="H221" s="248" t="s">
        <v>222</v>
      </c>
      <c r="I221" s="248" t="s">
        <v>223</v>
      </c>
      <c r="J221" s="248" t="s">
        <v>224</v>
      </c>
      <c r="K221" s="248" t="s">
        <v>225</v>
      </c>
      <c r="L221" s="248" t="s">
        <v>226</v>
      </c>
      <c r="M221" s="248" t="s">
        <v>227</v>
      </c>
      <c r="N221" s="248" t="s">
        <v>228</v>
      </c>
      <c r="O221" s="248" t="s">
        <v>229</v>
      </c>
      <c r="P221" s="248" t="s">
        <v>230</v>
      </c>
      <c r="Q221" s="249" t="s">
        <v>231</v>
      </c>
      <c r="R221" s="252" t="s">
        <v>1537</v>
      </c>
      <c r="S221" s="250" t="s">
        <v>1538</v>
      </c>
      <c r="T221" s="250" t="s">
        <v>1539</v>
      </c>
      <c r="U221" s="250" t="s">
        <v>1540</v>
      </c>
      <c r="V221" s="250" t="s">
        <v>1541</v>
      </c>
      <c r="W221" s="250" t="s">
        <v>1542</v>
      </c>
      <c r="X221" s="250" t="s">
        <v>1543</v>
      </c>
      <c r="Y221" s="250" t="s">
        <v>1544</v>
      </c>
      <c r="Z221" s="250" t="s">
        <v>1545</v>
      </c>
      <c r="AA221" s="251" t="s">
        <v>1546</v>
      </c>
    </row>
    <row r="222" spans="2:27" x14ac:dyDescent="0.3">
      <c r="B222" s="1176" t="s">
        <v>1575</v>
      </c>
      <c r="C222" s="1177" t="s">
        <v>1576</v>
      </c>
      <c r="D222" s="1178" t="s">
        <v>1322</v>
      </c>
      <c r="E222" s="1186" t="s">
        <v>1514</v>
      </c>
      <c r="F222" s="1180">
        <v>3</v>
      </c>
      <c r="G222" s="421"/>
      <c r="H222" s="422"/>
      <c r="I222" s="422"/>
      <c r="J222" s="422"/>
      <c r="K222" s="422"/>
      <c r="L222" s="420"/>
      <c r="M222" s="315">
        <v>0</v>
      </c>
      <c r="N222" s="315">
        <v>0</v>
      </c>
      <c r="O222" s="315">
        <v>0</v>
      </c>
      <c r="P222" s="315">
        <v>0</v>
      </c>
      <c r="Q222" s="315">
        <v>0</v>
      </c>
      <c r="R222" s="315">
        <v>0</v>
      </c>
      <c r="S222" s="315">
        <v>0</v>
      </c>
      <c r="T222" s="315">
        <v>0</v>
      </c>
      <c r="U222" s="315">
        <v>0</v>
      </c>
      <c r="V222" s="315">
        <v>0</v>
      </c>
      <c r="W222" s="315">
        <v>0</v>
      </c>
      <c r="X222" s="315">
        <v>0</v>
      </c>
      <c r="Y222" s="315">
        <v>0</v>
      </c>
      <c r="Z222" s="315">
        <v>0</v>
      </c>
      <c r="AA222" s="316">
        <v>0</v>
      </c>
    </row>
    <row r="223" spans="2:27" x14ac:dyDescent="0.3">
      <c r="B223" s="240" t="s">
        <v>1577</v>
      </c>
      <c r="C223" s="51" t="s">
        <v>1578</v>
      </c>
      <c r="D223" s="59" t="s">
        <v>1322</v>
      </c>
      <c r="E223" s="304" t="s">
        <v>1514</v>
      </c>
      <c r="F223" s="292">
        <v>3</v>
      </c>
      <c r="G223" s="419"/>
      <c r="H223" s="419"/>
      <c r="I223" s="419"/>
      <c r="J223" s="419"/>
      <c r="K223" s="419"/>
      <c r="L223" s="420"/>
      <c r="M223" s="1181">
        <v>0</v>
      </c>
      <c r="N223" s="1181">
        <v>0</v>
      </c>
      <c r="O223" s="1181">
        <v>0</v>
      </c>
      <c r="P223" s="1181">
        <v>0</v>
      </c>
      <c r="Q223" s="1181">
        <v>0</v>
      </c>
      <c r="R223" s="1181">
        <v>0</v>
      </c>
      <c r="S223" s="1181">
        <v>0</v>
      </c>
      <c r="T223" s="1181">
        <v>0</v>
      </c>
      <c r="U223" s="1181">
        <v>0</v>
      </c>
      <c r="V223" s="1181">
        <v>0</v>
      </c>
      <c r="W223" s="1181">
        <v>0</v>
      </c>
      <c r="X223" s="1181">
        <v>0</v>
      </c>
      <c r="Y223" s="1181">
        <v>0</v>
      </c>
      <c r="Z223" s="1181">
        <v>0</v>
      </c>
      <c r="AA223" s="1182">
        <v>0</v>
      </c>
    </row>
    <row r="224" spans="2:27" x14ac:dyDescent="0.3">
      <c r="B224" s="240" t="s">
        <v>1579</v>
      </c>
      <c r="C224" s="51" t="s">
        <v>1580</v>
      </c>
      <c r="D224" s="59" t="s">
        <v>1322</v>
      </c>
      <c r="E224" s="304" t="s">
        <v>1514</v>
      </c>
      <c r="F224" s="292">
        <v>3</v>
      </c>
      <c r="G224" s="419"/>
      <c r="H224" s="419"/>
      <c r="I224" s="419"/>
      <c r="J224" s="419"/>
      <c r="K224" s="419"/>
      <c r="L224" s="420"/>
      <c r="M224" s="1181">
        <v>0</v>
      </c>
      <c r="N224" s="1181">
        <v>0</v>
      </c>
      <c r="O224" s="1181">
        <v>0</v>
      </c>
      <c r="P224" s="1181">
        <v>0</v>
      </c>
      <c r="Q224" s="1181">
        <v>0</v>
      </c>
      <c r="R224" s="1181">
        <v>0</v>
      </c>
      <c r="S224" s="1181">
        <v>0</v>
      </c>
      <c r="T224" s="1181">
        <v>0</v>
      </c>
      <c r="U224" s="1181">
        <v>0</v>
      </c>
      <c r="V224" s="1181">
        <v>0</v>
      </c>
      <c r="W224" s="1181">
        <v>0</v>
      </c>
      <c r="X224" s="1181">
        <v>0</v>
      </c>
      <c r="Y224" s="1181">
        <v>0</v>
      </c>
      <c r="Z224" s="1181">
        <v>0</v>
      </c>
      <c r="AA224" s="1182">
        <v>0</v>
      </c>
    </row>
    <row r="225" spans="2:27" x14ac:dyDescent="0.3">
      <c r="B225" s="240" t="s">
        <v>1581</v>
      </c>
      <c r="C225" s="51" t="s">
        <v>1582</v>
      </c>
      <c r="D225" s="59" t="s">
        <v>1322</v>
      </c>
      <c r="E225" s="304" t="s">
        <v>1514</v>
      </c>
      <c r="F225" s="292">
        <v>3</v>
      </c>
      <c r="G225" s="419"/>
      <c r="H225" s="419"/>
      <c r="I225" s="419"/>
      <c r="J225" s="419"/>
      <c r="K225" s="419"/>
      <c r="L225" s="420"/>
      <c r="M225" s="1181">
        <v>0</v>
      </c>
      <c r="N225" s="1181">
        <v>0</v>
      </c>
      <c r="O225" s="1181">
        <v>0</v>
      </c>
      <c r="P225" s="1181">
        <v>0</v>
      </c>
      <c r="Q225" s="1181">
        <v>0</v>
      </c>
      <c r="R225" s="1181">
        <v>0</v>
      </c>
      <c r="S225" s="1181">
        <v>0</v>
      </c>
      <c r="T225" s="1181">
        <v>0</v>
      </c>
      <c r="U225" s="1181">
        <v>0</v>
      </c>
      <c r="V225" s="1181">
        <v>0</v>
      </c>
      <c r="W225" s="1181">
        <v>0</v>
      </c>
      <c r="X225" s="1181">
        <v>0</v>
      </c>
      <c r="Y225" s="1181">
        <v>0</v>
      </c>
      <c r="Z225" s="1181">
        <v>0</v>
      </c>
      <c r="AA225" s="1182">
        <v>0</v>
      </c>
    </row>
    <row r="226" spans="2:27" x14ac:dyDescent="0.3">
      <c r="B226" s="240" t="s">
        <v>1583</v>
      </c>
      <c r="C226" s="51" t="s">
        <v>1576</v>
      </c>
      <c r="D226" s="59" t="s">
        <v>1317</v>
      </c>
      <c r="E226" s="304" t="s">
        <v>1514</v>
      </c>
      <c r="F226" s="292">
        <v>3</v>
      </c>
      <c r="G226" s="421"/>
      <c r="H226" s="422"/>
      <c r="I226" s="422"/>
      <c r="J226" s="422"/>
      <c r="K226" s="422"/>
      <c r="L226" s="420"/>
      <c r="M226" s="315">
        <v>0</v>
      </c>
      <c r="N226" s="315">
        <v>0</v>
      </c>
      <c r="O226" s="315">
        <v>0</v>
      </c>
      <c r="P226" s="315">
        <v>0</v>
      </c>
      <c r="Q226" s="315">
        <v>0</v>
      </c>
      <c r="R226" s="315">
        <v>0</v>
      </c>
      <c r="S226" s="315">
        <v>0</v>
      </c>
      <c r="T226" s="315">
        <v>0</v>
      </c>
      <c r="U226" s="315">
        <v>0</v>
      </c>
      <c r="V226" s="315">
        <v>0</v>
      </c>
      <c r="W226" s="315">
        <v>0</v>
      </c>
      <c r="X226" s="315">
        <v>0</v>
      </c>
      <c r="Y226" s="315">
        <v>0</v>
      </c>
      <c r="Z226" s="315">
        <v>0</v>
      </c>
      <c r="AA226" s="316">
        <v>0</v>
      </c>
    </row>
    <row r="227" spans="2:27" x14ac:dyDescent="0.3">
      <c r="B227" s="240" t="s">
        <v>1584</v>
      </c>
      <c r="C227" s="51" t="s">
        <v>1578</v>
      </c>
      <c r="D227" s="59" t="s">
        <v>1317</v>
      </c>
      <c r="E227" s="304" t="s">
        <v>1514</v>
      </c>
      <c r="F227" s="292">
        <v>3</v>
      </c>
      <c r="G227" s="419"/>
      <c r="H227" s="419"/>
      <c r="I227" s="419"/>
      <c r="J227" s="419"/>
      <c r="K227" s="419"/>
      <c r="L227" s="420"/>
      <c r="M227" s="1181">
        <v>0</v>
      </c>
      <c r="N227" s="1181">
        <v>0</v>
      </c>
      <c r="O227" s="1181">
        <v>0</v>
      </c>
      <c r="P227" s="1181">
        <v>0</v>
      </c>
      <c r="Q227" s="1181">
        <v>0</v>
      </c>
      <c r="R227" s="1181">
        <v>0</v>
      </c>
      <c r="S227" s="1181">
        <v>0</v>
      </c>
      <c r="T227" s="1181">
        <v>0</v>
      </c>
      <c r="U227" s="1181">
        <v>0</v>
      </c>
      <c r="V227" s="1181">
        <v>0</v>
      </c>
      <c r="W227" s="1181">
        <v>0</v>
      </c>
      <c r="X227" s="1181">
        <v>0</v>
      </c>
      <c r="Y227" s="1181">
        <v>0</v>
      </c>
      <c r="Z227" s="1181">
        <v>0</v>
      </c>
      <c r="AA227" s="1182">
        <v>0</v>
      </c>
    </row>
    <row r="228" spans="2:27" x14ac:dyDescent="0.3">
      <c r="B228" s="240" t="s">
        <v>1585</v>
      </c>
      <c r="C228" s="51" t="s">
        <v>1580</v>
      </c>
      <c r="D228" s="59" t="s">
        <v>1317</v>
      </c>
      <c r="E228" s="304" t="s">
        <v>1514</v>
      </c>
      <c r="F228" s="292">
        <v>3</v>
      </c>
      <c r="G228" s="419"/>
      <c r="H228" s="419"/>
      <c r="I228" s="419"/>
      <c r="J228" s="419"/>
      <c r="K228" s="419"/>
      <c r="L228" s="420"/>
      <c r="M228" s="1181">
        <v>0</v>
      </c>
      <c r="N228" s="1181">
        <v>0</v>
      </c>
      <c r="O228" s="1181">
        <v>0</v>
      </c>
      <c r="P228" s="1181">
        <v>0</v>
      </c>
      <c r="Q228" s="1181">
        <v>0</v>
      </c>
      <c r="R228" s="1181">
        <v>0</v>
      </c>
      <c r="S228" s="1181">
        <v>0</v>
      </c>
      <c r="T228" s="1181">
        <v>0</v>
      </c>
      <c r="U228" s="1181">
        <v>0</v>
      </c>
      <c r="V228" s="1181">
        <v>0</v>
      </c>
      <c r="W228" s="1181">
        <v>0</v>
      </c>
      <c r="X228" s="1181">
        <v>0</v>
      </c>
      <c r="Y228" s="1181">
        <v>0</v>
      </c>
      <c r="Z228" s="1181">
        <v>0</v>
      </c>
      <c r="AA228" s="1182">
        <v>0</v>
      </c>
    </row>
    <row r="229" spans="2:27" x14ac:dyDescent="0.3">
      <c r="B229" s="240" t="s">
        <v>1586</v>
      </c>
      <c r="C229" s="51" t="s">
        <v>1582</v>
      </c>
      <c r="D229" s="59" t="s">
        <v>1317</v>
      </c>
      <c r="E229" s="304" t="s">
        <v>1514</v>
      </c>
      <c r="F229" s="292">
        <v>3</v>
      </c>
      <c r="G229" s="419"/>
      <c r="H229" s="419"/>
      <c r="I229" s="419"/>
      <c r="J229" s="419"/>
      <c r="K229" s="419"/>
      <c r="L229" s="420"/>
      <c r="M229" s="1181">
        <v>0</v>
      </c>
      <c r="N229" s="1181">
        <v>0</v>
      </c>
      <c r="O229" s="1181">
        <v>0</v>
      </c>
      <c r="P229" s="1181">
        <v>0</v>
      </c>
      <c r="Q229" s="1181">
        <v>0</v>
      </c>
      <c r="R229" s="1181">
        <v>0</v>
      </c>
      <c r="S229" s="1181">
        <v>0</v>
      </c>
      <c r="T229" s="1181">
        <v>0</v>
      </c>
      <c r="U229" s="1181">
        <v>0</v>
      </c>
      <c r="V229" s="1181">
        <v>0</v>
      </c>
      <c r="W229" s="1181">
        <v>0</v>
      </c>
      <c r="X229" s="1181">
        <v>0</v>
      </c>
      <c r="Y229" s="1181">
        <v>0</v>
      </c>
      <c r="Z229" s="1181">
        <v>0</v>
      </c>
      <c r="AA229" s="1182">
        <v>0</v>
      </c>
    </row>
    <row r="230" spans="2:27" x14ac:dyDescent="0.3">
      <c r="B230" s="240" t="s">
        <v>1587</v>
      </c>
      <c r="C230" s="51" t="s">
        <v>1576</v>
      </c>
      <c r="D230" s="59" t="s">
        <v>1513</v>
      </c>
      <c r="E230" s="304" t="s">
        <v>1514</v>
      </c>
      <c r="F230" s="292">
        <v>3</v>
      </c>
      <c r="G230" s="313">
        <f t="shared" ref="G230:K230" si="65">SUM(G222, G226)</f>
        <v>0</v>
      </c>
      <c r="H230" s="313">
        <f t="shared" si="65"/>
        <v>0</v>
      </c>
      <c r="I230" s="313">
        <f t="shared" si="65"/>
        <v>0</v>
      </c>
      <c r="J230" s="313">
        <f t="shared" si="65"/>
        <v>0</v>
      </c>
      <c r="K230" s="313">
        <f t="shared" si="65"/>
        <v>0</v>
      </c>
      <c r="L230" s="313">
        <f>SUM(L222, L226)</f>
        <v>0</v>
      </c>
      <c r="M230" s="313">
        <f t="shared" ref="M230:AA230" si="66">SUM(M222, M226)</f>
        <v>0</v>
      </c>
      <c r="N230" s="313">
        <f t="shared" si="66"/>
        <v>0</v>
      </c>
      <c r="O230" s="313">
        <f t="shared" si="66"/>
        <v>0</v>
      </c>
      <c r="P230" s="313">
        <f t="shared" si="66"/>
        <v>0</v>
      </c>
      <c r="Q230" s="313">
        <f t="shared" si="66"/>
        <v>0</v>
      </c>
      <c r="R230" s="313">
        <f t="shared" si="66"/>
        <v>0</v>
      </c>
      <c r="S230" s="313">
        <f t="shared" si="66"/>
        <v>0</v>
      </c>
      <c r="T230" s="313">
        <f t="shared" si="66"/>
        <v>0</v>
      </c>
      <c r="U230" s="313">
        <f t="shared" si="66"/>
        <v>0</v>
      </c>
      <c r="V230" s="313">
        <f t="shared" si="66"/>
        <v>0</v>
      </c>
      <c r="W230" s="313">
        <f t="shared" si="66"/>
        <v>0</v>
      </c>
      <c r="X230" s="313">
        <f t="shared" si="66"/>
        <v>0</v>
      </c>
      <c r="Y230" s="313">
        <f t="shared" si="66"/>
        <v>0</v>
      </c>
      <c r="Z230" s="313">
        <f t="shared" si="66"/>
        <v>0</v>
      </c>
      <c r="AA230" s="313">
        <f t="shared" si="66"/>
        <v>0</v>
      </c>
    </row>
    <row r="231" spans="2:27" x14ac:dyDescent="0.3">
      <c r="B231" s="240" t="s">
        <v>1588</v>
      </c>
      <c r="C231" s="51" t="s">
        <v>1589</v>
      </c>
      <c r="D231" s="59" t="s">
        <v>1322</v>
      </c>
      <c r="E231" s="304" t="s">
        <v>1514</v>
      </c>
      <c r="F231" s="292">
        <v>3</v>
      </c>
      <c r="G231" s="421"/>
      <c r="H231" s="422"/>
      <c r="I231" s="422"/>
      <c r="J231" s="422"/>
      <c r="K231" s="422"/>
      <c r="L231" s="420"/>
      <c r="M231" s="315">
        <v>0.502</v>
      </c>
      <c r="N231" s="315">
        <v>0.502</v>
      </c>
      <c r="O231" s="315">
        <v>0.502</v>
      </c>
      <c r="P231" s="315">
        <v>0.502</v>
      </c>
      <c r="Q231" s="315">
        <v>0.502</v>
      </c>
      <c r="R231" s="315">
        <v>2.5099999999999998</v>
      </c>
      <c r="S231" s="315">
        <v>0</v>
      </c>
      <c r="T231" s="315">
        <v>0</v>
      </c>
      <c r="U231" s="315">
        <v>0</v>
      </c>
      <c r="V231" s="315">
        <v>0</v>
      </c>
      <c r="W231" s="315">
        <v>0</v>
      </c>
      <c r="X231" s="315">
        <v>0</v>
      </c>
      <c r="Y231" s="315">
        <v>0</v>
      </c>
      <c r="Z231" s="315">
        <v>0</v>
      </c>
      <c r="AA231" s="316">
        <v>0</v>
      </c>
    </row>
    <row r="232" spans="2:27" ht="28" x14ac:dyDescent="0.3">
      <c r="B232" s="240" t="s">
        <v>1590</v>
      </c>
      <c r="C232" s="51" t="s">
        <v>1591</v>
      </c>
      <c r="D232" s="59" t="s">
        <v>1322</v>
      </c>
      <c r="E232" s="304" t="s">
        <v>1514</v>
      </c>
      <c r="F232" s="292">
        <v>3</v>
      </c>
      <c r="G232" s="419"/>
      <c r="H232" s="419"/>
      <c r="I232" s="419"/>
      <c r="J232" s="419"/>
      <c r="K232" s="419"/>
      <c r="L232" s="420"/>
      <c r="M232" s="1181">
        <v>0</v>
      </c>
      <c r="N232" s="1181">
        <v>0</v>
      </c>
      <c r="O232" s="1181">
        <v>0</v>
      </c>
      <c r="P232" s="1181">
        <v>0</v>
      </c>
      <c r="Q232" s="1181">
        <v>0</v>
      </c>
      <c r="R232" s="1181">
        <v>0</v>
      </c>
      <c r="S232" s="1181">
        <v>0</v>
      </c>
      <c r="T232" s="1181">
        <v>0</v>
      </c>
      <c r="U232" s="1181">
        <v>0</v>
      </c>
      <c r="V232" s="1181">
        <v>0</v>
      </c>
      <c r="W232" s="1181">
        <v>0</v>
      </c>
      <c r="X232" s="1181">
        <v>0</v>
      </c>
      <c r="Y232" s="1181">
        <v>0</v>
      </c>
      <c r="Z232" s="1181">
        <v>0</v>
      </c>
      <c r="AA232" s="1181">
        <v>0</v>
      </c>
    </row>
    <row r="233" spans="2:27" ht="28" x14ac:dyDescent="0.3">
      <c r="B233" s="240" t="s">
        <v>1592</v>
      </c>
      <c r="C233" s="51" t="s">
        <v>1593</v>
      </c>
      <c r="D233" s="59" t="s">
        <v>1322</v>
      </c>
      <c r="E233" s="304" t="s">
        <v>1514</v>
      </c>
      <c r="F233" s="292">
        <v>3</v>
      </c>
      <c r="G233" s="419"/>
      <c r="H233" s="419"/>
      <c r="I233" s="419"/>
      <c r="J233" s="419"/>
      <c r="K233" s="419"/>
      <c r="L233" s="420"/>
      <c r="M233" s="1181">
        <v>0</v>
      </c>
      <c r="N233" s="1181">
        <v>0</v>
      </c>
      <c r="O233" s="1181">
        <v>0</v>
      </c>
      <c r="P233" s="1181">
        <v>0</v>
      </c>
      <c r="Q233" s="1181">
        <v>0</v>
      </c>
      <c r="R233" s="1181">
        <v>0</v>
      </c>
      <c r="S233" s="1181">
        <v>0</v>
      </c>
      <c r="T233" s="1181">
        <v>0</v>
      </c>
      <c r="U233" s="1181">
        <v>0</v>
      </c>
      <c r="V233" s="1181">
        <v>0</v>
      </c>
      <c r="W233" s="1181">
        <v>0</v>
      </c>
      <c r="X233" s="1181">
        <v>0</v>
      </c>
      <c r="Y233" s="1181">
        <v>0</v>
      </c>
      <c r="Z233" s="1181">
        <v>0</v>
      </c>
      <c r="AA233" s="1181">
        <v>0</v>
      </c>
    </row>
    <row r="234" spans="2:27" x14ac:dyDescent="0.3">
      <c r="B234" s="240" t="s">
        <v>1594</v>
      </c>
      <c r="C234" s="51" t="s">
        <v>1595</v>
      </c>
      <c r="D234" s="59" t="s">
        <v>1322</v>
      </c>
      <c r="E234" s="304" t="s">
        <v>1514</v>
      </c>
      <c r="F234" s="292">
        <v>3</v>
      </c>
      <c r="G234" s="419"/>
      <c r="H234" s="419"/>
      <c r="I234" s="419"/>
      <c r="J234" s="419"/>
      <c r="K234" s="419"/>
      <c r="L234" s="420"/>
      <c r="M234" s="315">
        <v>0.502</v>
      </c>
      <c r="N234" s="315">
        <v>0.502</v>
      </c>
      <c r="O234" s="315">
        <v>0.502</v>
      </c>
      <c r="P234" s="315">
        <v>0.502</v>
      </c>
      <c r="Q234" s="315">
        <v>0.502</v>
      </c>
      <c r="R234" s="315">
        <v>2.5099999999999998</v>
      </c>
      <c r="S234" s="1181">
        <v>0</v>
      </c>
      <c r="T234" s="1181">
        <v>0</v>
      </c>
      <c r="U234" s="1181">
        <v>0</v>
      </c>
      <c r="V234" s="1181">
        <v>0</v>
      </c>
      <c r="W234" s="1181">
        <v>0</v>
      </c>
      <c r="X234" s="1181">
        <v>0</v>
      </c>
      <c r="Y234" s="1181">
        <v>0</v>
      </c>
      <c r="Z234" s="1181">
        <v>0</v>
      </c>
      <c r="AA234" s="1181">
        <v>0</v>
      </c>
    </row>
    <row r="235" spans="2:27" x14ac:dyDescent="0.3">
      <c r="B235" s="240" t="s">
        <v>1596</v>
      </c>
      <c r="C235" s="51" t="s">
        <v>1589</v>
      </c>
      <c r="D235" s="59" t="s">
        <v>1317</v>
      </c>
      <c r="E235" s="304" t="s">
        <v>1514</v>
      </c>
      <c r="F235" s="292">
        <v>3</v>
      </c>
      <c r="G235" s="421"/>
      <c r="H235" s="422"/>
      <c r="I235" s="422"/>
      <c r="J235" s="422"/>
      <c r="K235" s="422"/>
      <c r="L235" s="420"/>
      <c r="M235" s="315">
        <v>0</v>
      </c>
      <c r="N235" s="315">
        <v>0</v>
      </c>
      <c r="O235" s="315">
        <v>0</v>
      </c>
      <c r="P235" s="315">
        <v>0</v>
      </c>
      <c r="Q235" s="315">
        <v>0</v>
      </c>
      <c r="R235" s="315">
        <v>0</v>
      </c>
      <c r="S235" s="315">
        <v>0</v>
      </c>
      <c r="T235" s="315">
        <v>0</v>
      </c>
      <c r="U235" s="315">
        <v>0</v>
      </c>
      <c r="V235" s="315">
        <v>0</v>
      </c>
      <c r="W235" s="315">
        <v>0</v>
      </c>
      <c r="X235" s="315">
        <v>0</v>
      </c>
      <c r="Y235" s="315">
        <v>0</v>
      </c>
      <c r="Z235" s="315">
        <v>0</v>
      </c>
      <c r="AA235" s="315">
        <v>0</v>
      </c>
    </row>
    <row r="236" spans="2:27" ht="28" x14ac:dyDescent="0.3">
      <c r="B236" s="240" t="s">
        <v>1597</v>
      </c>
      <c r="C236" s="51" t="s">
        <v>1591</v>
      </c>
      <c r="D236" s="59" t="s">
        <v>1317</v>
      </c>
      <c r="E236" s="304" t="s">
        <v>1514</v>
      </c>
      <c r="F236" s="292">
        <v>3</v>
      </c>
      <c r="G236" s="419"/>
      <c r="H236" s="419"/>
      <c r="I236" s="419"/>
      <c r="J236" s="419"/>
      <c r="K236" s="419"/>
      <c r="L236" s="420"/>
      <c r="M236" s="1181">
        <v>0</v>
      </c>
      <c r="N236" s="1181">
        <v>0</v>
      </c>
      <c r="O236" s="1181">
        <v>0</v>
      </c>
      <c r="P236" s="1181">
        <v>0</v>
      </c>
      <c r="Q236" s="1181">
        <v>0</v>
      </c>
      <c r="R236" s="1181">
        <v>0</v>
      </c>
      <c r="S236" s="1181">
        <v>0</v>
      </c>
      <c r="T236" s="1181">
        <v>0</v>
      </c>
      <c r="U236" s="1181">
        <v>0</v>
      </c>
      <c r="V236" s="1181">
        <v>0</v>
      </c>
      <c r="W236" s="1181">
        <v>0</v>
      </c>
      <c r="X236" s="1181">
        <v>0</v>
      </c>
      <c r="Y236" s="1181">
        <v>0</v>
      </c>
      <c r="Z236" s="1181">
        <v>0</v>
      </c>
      <c r="AA236" s="1181">
        <v>0</v>
      </c>
    </row>
    <row r="237" spans="2:27" ht="28" x14ac:dyDescent="0.3">
      <c r="B237" s="240" t="s">
        <v>1598</v>
      </c>
      <c r="C237" s="51" t="s">
        <v>1599</v>
      </c>
      <c r="D237" s="59" t="s">
        <v>1317</v>
      </c>
      <c r="E237" s="304" t="s">
        <v>1514</v>
      </c>
      <c r="F237" s="292">
        <v>3</v>
      </c>
      <c r="G237" s="419"/>
      <c r="H237" s="419"/>
      <c r="I237" s="419"/>
      <c r="J237" s="419"/>
      <c r="K237" s="419"/>
      <c r="L237" s="420"/>
      <c r="M237" s="1181">
        <v>0</v>
      </c>
      <c r="N237" s="1181">
        <v>0</v>
      </c>
      <c r="O237" s="1181">
        <v>0</v>
      </c>
      <c r="P237" s="1181">
        <v>0</v>
      </c>
      <c r="Q237" s="1181">
        <v>0</v>
      </c>
      <c r="R237" s="1181">
        <v>0</v>
      </c>
      <c r="S237" s="1181">
        <v>0</v>
      </c>
      <c r="T237" s="1181">
        <v>0</v>
      </c>
      <c r="U237" s="1181">
        <v>0</v>
      </c>
      <c r="V237" s="1181">
        <v>0</v>
      </c>
      <c r="W237" s="1181">
        <v>0</v>
      </c>
      <c r="X237" s="1181">
        <v>0</v>
      </c>
      <c r="Y237" s="1181">
        <v>0</v>
      </c>
      <c r="Z237" s="1181">
        <v>0</v>
      </c>
      <c r="AA237" s="1181">
        <v>0</v>
      </c>
    </row>
    <row r="238" spans="2:27" x14ac:dyDescent="0.3">
      <c r="B238" s="240" t="s">
        <v>1600</v>
      </c>
      <c r="C238" s="51" t="s">
        <v>1595</v>
      </c>
      <c r="D238" s="59" t="s">
        <v>1317</v>
      </c>
      <c r="E238" s="304" t="s">
        <v>1514</v>
      </c>
      <c r="F238" s="292">
        <v>3</v>
      </c>
      <c r="G238" s="419"/>
      <c r="H238" s="419"/>
      <c r="I238" s="419"/>
      <c r="J238" s="419"/>
      <c r="K238" s="419"/>
      <c r="L238" s="420"/>
      <c r="M238" s="315">
        <v>0</v>
      </c>
      <c r="N238" s="315">
        <v>0</v>
      </c>
      <c r="O238" s="315">
        <v>0</v>
      </c>
      <c r="P238" s="315">
        <v>0</v>
      </c>
      <c r="Q238" s="315">
        <v>0</v>
      </c>
      <c r="R238" s="315">
        <v>0</v>
      </c>
      <c r="S238" s="1181">
        <v>0</v>
      </c>
      <c r="T238" s="1181">
        <v>0</v>
      </c>
      <c r="U238" s="1181">
        <v>0</v>
      </c>
      <c r="V238" s="1181">
        <v>0</v>
      </c>
      <c r="W238" s="1181">
        <v>0</v>
      </c>
      <c r="X238" s="1181">
        <v>0</v>
      </c>
      <c r="Y238" s="1181">
        <v>0</v>
      </c>
      <c r="Z238" s="1181">
        <v>0</v>
      </c>
      <c r="AA238" s="1181">
        <v>0</v>
      </c>
    </row>
    <row r="239" spans="2:27" x14ac:dyDescent="0.3">
      <c r="B239" s="240" t="s">
        <v>1601</v>
      </c>
      <c r="C239" s="51" t="s">
        <v>1589</v>
      </c>
      <c r="D239" s="59" t="s">
        <v>1513</v>
      </c>
      <c r="E239" s="304" t="s">
        <v>1514</v>
      </c>
      <c r="F239" s="292">
        <v>3</v>
      </c>
      <c r="G239" s="313">
        <f t="shared" ref="G239:K239" si="67">SUM(G231,G235)</f>
        <v>0</v>
      </c>
      <c r="H239" s="313">
        <f t="shared" si="67"/>
        <v>0</v>
      </c>
      <c r="I239" s="313">
        <f t="shared" si="67"/>
        <v>0</v>
      </c>
      <c r="J239" s="313">
        <f t="shared" si="67"/>
        <v>0</v>
      </c>
      <c r="K239" s="313">
        <f t="shared" si="67"/>
        <v>0</v>
      </c>
      <c r="L239" s="313">
        <f>SUM(L231,L235)</f>
        <v>0</v>
      </c>
      <c r="M239" s="313">
        <f t="shared" ref="M239:AA239" si="68">SUM(M231,M235)</f>
        <v>0.502</v>
      </c>
      <c r="N239" s="313">
        <f t="shared" si="68"/>
        <v>0.502</v>
      </c>
      <c r="O239" s="313">
        <f t="shared" si="68"/>
        <v>0.502</v>
      </c>
      <c r="P239" s="313">
        <f t="shared" si="68"/>
        <v>0.502</v>
      </c>
      <c r="Q239" s="313">
        <f t="shared" si="68"/>
        <v>0.502</v>
      </c>
      <c r="R239" s="313">
        <f t="shared" si="68"/>
        <v>2.5099999999999998</v>
      </c>
      <c r="S239" s="313">
        <f t="shared" si="68"/>
        <v>0</v>
      </c>
      <c r="T239" s="313">
        <f t="shared" si="68"/>
        <v>0</v>
      </c>
      <c r="U239" s="313">
        <f t="shared" si="68"/>
        <v>0</v>
      </c>
      <c r="V239" s="313">
        <f t="shared" si="68"/>
        <v>0</v>
      </c>
      <c r="W239" s="313">
        <f t="shared" si="68"/>
        <v>0</v>
      </c>
      <c r="X239" s="313">
        <f t="shared" si="68"/>
        <v>0</v>
      </c>
      <c r="Y239" s="313">
        <f t="shared" si="68"/>
        <v>0</v>
      </c>
      <c r="Z239" s="313">
        <f t="shared" si="68"/>
        <v>0</v>
      </c>
      <c r="AA239" s="313">
        <f t="shared" si="68"/>
        <v>0</v>
      </c>
    </row>
    <row r="240" spans="2:27" x14ac:dyDescent="0.3">
      <c r="B240" s="240" t="s">
        <v>1602</v>
      </c>
      <c r="C240" s="51" t="s">
        <v>1603</v>
      </c>
      <c r="D240" s="59" t="s">
        <v>1322</v>
      </c>
      <c r="E240" s="304" t="s">
        <v>1514</v>
      </c>
      <c r="F240" s="292">
        <v>3</v>
      </c>
      <c r="G240" s="421"/>
      <c r="H240" s="422"/>
      <c r="I240" s="422"/>
      <c r="J240" s="422"/>
      <c r="K240" s="422"/>
      <c r="L240" s="420"/>
      <c r="M240" s="315">
        <v>0.30199999999999999</v>
      </c>
      <c r="N240" s="315">
        <v>0.30199999999999999</v>
      </c>
      <c r="O240" s="315">
        <v>0.30199999999999999</v>
      </c>
      <c r="P240" s="315">
        <v>0.30199999999999999</v>
      </c>
      <c r="Q240" s="315">
        <v>0.30199999999999999</v>
      </c>
      <c r="R240" s="315">
        <v>0</v>
      </c>
      <c r="S240" s="315">
        <v>0</v>
      </c>
      <c r="T240" s="315">
        <v>0</v>
      </c>
      <c r="U240" s="315">
        <v>0</v>
      </c>
      <c r="V240" s="315">
        <v>0</v>
      </c>
      <c r="W240" s="315">
        <v>0</v>
      </c>
      <c r="X240" s="315">
        <v>0</v>
      </c>
      <c r="Y240" s="315">
        <v>0</v>
      </c>
      <c r="Z240" s="315">
        <v>0</v>
      </c>
      <c r="AA240" s="315">
        <v>0</v>
      </c>
    </row>
    <row r="241" spans="2:27" x14ac:dyDescent="0.3">
      <c r="B241" s="240" t="s">
        <v>1604</v>
      </c>
      <c r="C241" s="51" t="s">
        <v>1605</v>
      </c>
      <c r="D241" s="59" t="s">
        <v>1322</v>
      </c>
      <c r="E241" s="304" t="s">
        <v>1514</v>
      </c>
      <c r="F241" s="292">
        <v>3</v>
      </c>
      <c r="G241" s="419"/>
      <c r="H241" s="419"/>
      <c r="I241" s="419"/>
      <c r="J241" s="419"/>
      <c r="K241" s="419"/>
      <c r="L241" s="420"/>
      <c r="M241" s="1181">
        <v>0</v>
      </c>
      <c r="N241" s="1181">
        <v>0</v>
      </c>
      <c r="O241" s="1181">
        <v>0</v>
      </c>
      <c r="P241" s="1181">
        <v>0</v>
      </c>
      <c r="Q241" s="1181">
        <v>0</v>
      </c>
      <c r="R241" s="1181">
        <v>0</v>
      </c>
      <c r="S241" s="315">
        <v>0</v>
      </c>
      <c r="T241" s="315">
        <v>0</v>
      </c>
      <c r="U241" s="315">
        <v>0</v>
      </c>
      <c r="V241" s="315">
        <v>0</v>
      </c>
      <c r="W241" s="315">
        <v>0</v>
      </c>
      <c r="X241" s="315">
        <v>0</v>
      </c>
      <c r="Y241" s="315">
        <v>0</v>
      </c>
      <c r="Z241" s="315">
        <v>0</v>
      </c>
      <c r="AA241" s="315">
        <v>0</v>
      </c>
    </row>
    <row r="242" spans="2:27" x14ac:dyDescent="0.3">
      <c r="B242" s="240" t="s">
        <v>1606</v>
      </c>
      <c r="C242" s="51" t="s">
        <v>1607</v>
      </c>
      <c r="D242" s="59" t="s">
        <v>1322</v>
      </c>
      <c r="E242" s="304" t="s">
        <v>1514</v>
      </c>
      <c r="F242" s="292">
        <v>3</v>
      </c>
      <c r="G242" s="419"/>
      <c r="H242" s="419"/>
      <c r="I242" s="419"/>
      <c r="J242" s="419"/>
      <c r="K242" s="419"/>
      <c r="L242" s="420"/>
      <c r="M242" s="1181">
        <v>0</v>
      </c>
      <c r="N242" s="1181">
        <v>0</v>
      </c>
      <c r="O242" s="1181">
        <v>0</v>
      </c>
      <c r="P242" s="1181">
        <v>0</v>
      </c>
      <c r="Q242" s="1181">
        <v>0</v>
      </c>
      <c r="R242" s="1181">
        <v>0</v>
      </c>
      <c r="S242" s="315">
        <v>0</v>
      </c>
      <c r="T242" s="315">
        <v>0</v>
      </c>
      <c r="U242" s="315">
        <v>0</v>
      </c>
      <c r="V242" s="315">
        <v>0</v>
      </c>
      <c r="W242" s="315">
        <v>0</v>
      </c>
      <c r="X242" s="315">
        <v>0</v>
      </c>
      <c r="Y242" s="315">
        <v>0</v>
      </c>
      <c r="Z242" s="315">
        <v>0</v>
      </c>
      <c r="AA242" s="315">
        <v>0</v>
      </c>
    </row>
    <row r="243" spans="2:27" x14ac:dyDescent="0.3">
      <c r="B243" s="240" t="s">
        <v>1608</v>
      </c>
      <c r="C243" s="51" t="s">
        <v>1609</v>
      </c>
      <c r="D243" s="59" t="s">
        <v>1322</v>
      </c>
      <c r="E243" s="304" t="s">
        <v>1514</v>
      </c>
      <c r="F243" s="292">
        <v>3</v>
      </c>
      <c r="G243" s="419"/>
      <c r="H243" s="419"/>
      <c r="I243" s="419"/>
      <c r="J243" s="419"/>
      <c r="K243" s="419"/>
      <c r="L243" s="420"/>
      <c r="M243" s="315">
        <v>0.30199999999999999</v>
      </c>
      <c r="N243" s="315">
        <v>0.30199999999999999</v>
      </c>
      <c r="O243" s="315">
        <v>0.30199999999999999</v>
      </c>
      <c r="P243" s="315">
        <v>0.30199999999999999</v>
      </c>
      <c r="Q243" s="315">
        <v>0.30199999999999999</v>
      </c>
      <c r="R243" s="315">
        <v>0</v>
      </c>
      <c r="S243" s="315">
        <v>0</v>
      </c>
      <c r="T243" s="315">
        <v>0</v>
      </c>
      <c r="U243" s="315">
        <v>0</v>
      </c>
      <c r="V243" s="315">
        <v>0</v>
      </c>
      <c r="W243" s="315">
        <v>0</v>
      </c>
      <c r="X243" s="315">
        <v>0</v>
      </c>
      <c r="Y243" s="315">
        <v>0</v>
      </c>
      <c r="Z243" s="315">
        <v>0</v>
      </c>
      <c r="AA243" s="315">
        <v>0</v>
      </c>
    </row>
    <row r="244" spans="2:27" x14ac:dyDescent="0.3">
      <c r="B244" s="240" t="s">
        <v>1610</v>
      </c>
      <c r="C244" s="51" t="s">
        <v>1603</v>
      </c>
      <c r="D244" s="59" t="s">
        <v>1317</v>
      </c>
      <c r="E244" s="304" t="s">
        <v>1514</v>
      </c>
      <c r="F244" s="292">
        <v>3</v>
      </c>
      <c r="G244" s="421"/>
      <c r="H244" s="422"/>
      <c r="I244" s="422"/>
      <c r="J244" s="422"/>
      <c r="K244" s="422"/>
      <c r="L244" s="420"/>
      <c r="M244" s="1181">
        <v>0</v>
      </c>
      <c r="N244" s="1181">
        <v>0</v>
      </c>
      <c r="O244" s="1181">
        <v>0</v>
      </c>
      <c r="P244" s="1181">
        <v>0</v>
      </c>
      <c r="Q244" s="1181">
        <v>0</v>
      </c>
      <c r="R244" s="1181">
        <v>0</v>
      </c>
      <c r="S244" s="315">
        <v>0</v>
      </c>
      <c r="T244" s="315">
        <v>0</v>
      </c>
      <c r="U244" s="315">
        <v>0</v>
      </c>
      <c r="V244" s="315">
        <v>0</v>
      </c>
      <c r="W244" s="315">
        <v>0</v>
      </c>
      <c r="X244" s="315">
        <v>0</v>
      </c>
      <c r="Y244" s="315">
        <v>0</v>
      </c>
      <c r="Z244" s="315">
        <v>0</v>
      </c>
      <c r="AA244" s="315">
        <v>0</v>
      </c>
    </row>
    <row r="245" spans="2:27" x14ac:dyDescent="0.3">
      <c r="B245" s="240" t="s">
        <v>1611</v>
      </c>
      <c r="C245" s="51" t="s">
        <v>1605</v>
      </c>
      <c r="D245" s="59" t="s">
        <v>1317</v>
      </c>
      <c r="E245" s="304" t="s">
        <v>1514</v>
      </c>
      <c r="F245" s="292">
        <v>3</v>
      </c>
      <c r="G245" s="419"/>
      <c r="H245" s="419"/>
      <c r="I245" s="419"/>
      <c r="J245" s="419"/>
      <c r="K245" s="419"/>
      <c r="L245" s="420"/>
      <c r="M245" s="1181">
        <v>0</v>
      </c>
      <c r="N245" s="1181">
        <v>0</v>
      </c>
      <c r="O245" s="1181">
        <v>0</v>
      </c>
      <c r="P245" s="1181">
        <v>0</v>
      </c>
      <c r="Q245" s="1181">
        <v>0</v>
      </c>
      <c r="R245" s="1181">
        <v>0</v>
      </c>
      <c r="S245" s="315">
        <v>0</v>
      </c>
      <c r="T245" s="315">
        <v>0</v>
      </c>
      <c r="U245" s="315">
        <v>0</v>
      </c>
      <c r="V245" s="315">
        <v>0</v>
      </c>
      <c r="W245" s="315">
        <v>0</v>
      </c>
      <c r="X245" s="315">
        <v>0</v>
      </c>
      <c r="Y245" s="315">
        <v>0</v>
      </c>
      <c r="Z245" s="315">
        <v>0</v>
      </c>
      <c r="AA245" s="315">
        <v>0</v>
      </c>
    </row>
    <row r="246" spans="2:27" x14ac:dyDescent="0.3">
      <c r="B246" s="240" t="s">
        <v>1612</v>
      </c>
      <c r="C246" s="51" t="s">
        <v>1607</v>
      </c>
      <c r="D246" s="59" t="s">
        <v>1317</v>
      </c>
      <c r="E246" s="304" t="s">
        <v>1514</v>
      </c>
      <c r="F246" s="292">
        <v>3</v>
      </c>
      <c r="G246" s="419"/>
      <c r="H246" s="419"/>
      <c r="I246" s="419"/>
      <c r="J246" s="419"/>
      <c r="K246" s="419"/>
      <c r="L246" s="420"/>
      <c r="M246" s="1181">
        <v>0</v>
      </c>
      <c r="N246" s="1181">
        <v>0</v>
      </c>
      <c r="O246" s="1181">
        <v>0</v>
      </c>
      <c r="P246" s="1181">
        <v>0</v>
      </c>
      <c r="Q246" s="1181">
        <v>0</v>
      </c>
      <c r="R246" s="1181">
        <v>0</v>
      </c>
      <c r="S246" s="315">
        <v>0</v>
      </c>
      <c r="T246" s="315">
        <v>0</v>
      </c>
      <c r="U246" s="315">
        <v>0</v>
      </c>
      <c r="V246" s="315">
        <v>0</v>
      </c>
      <c r="W246" s="315">
        <v>0</v>
      </c>
      <c r="X246" s="315">
        <v>0</v>
      </c>
      <c r="Y246" s="315">
        <v>0</v>
      </c>
      <c r="Z246" s="315">
        <v>0</v>
      </c>
      <c r="AA246" s="315">
        <v>0</v>
      </c>
    </row>
    <row r="247" spans="2:27" x14ac:dyDescent="0.3">
      <c r="B247" s="240" t="s">
        <v>1613</v>
      </c>
      <c r="C247" s="51" t="s">
        <v>1609</v>
      </c>
      <c r="D247" s="59" t="s">
        <v>1317</v>
      </c>
      <c r="E247" s="304" t="s">
        <v>1514</v>
      </c>
      <c r="F247" s="292">
        <v>3</v>
      </c>
      <c r="G247" s="419"/>
      <c r="H247" s="419"/>
      <c r="I247" s="419"/>
      <c r="J247" s="419"/>
      <c r="K247" s="419"/>
      <c r="L247" s="420"/>
      <c r="M247" s="1181">
        <v>0</v>
      </c>
      <c r="N247" s="1181">
        <v>0</v>
      </c>
      <c r="O247" s="1181">
        <v>0</v>
      </c>
      <c r="P247" s="1181">
        <v>0</v>
      </c>
      <c r="Q247" s="1181">
        <v>0</v>
      </c>
      <c r="R247" s="1181">
        <v>0</v>
      </c>
      <c r="S247" s="315">
        <v>0</v>
      </c>
      <c r="T247" s="315">
        <v>0</v>
      </c>
      <c r="U247" s="315">
        <v>0</v>
      </c>
      <c r="V247" s="315">
        <v>0</v>
      </c>
      <c r="W247" s="315">
        <v>0</v>
      </c>
      <c r="X247" s="315">
        <v>0</v>
      </c>
      <c r="Y247" s="315">
        <v>0</v>
      </c>
      <c r="Z247" s="315">
        <v>0</v>
      </c>
      <c r="AA247" s="315">
        <v>0</v>
      </c>
    </row>
    <row r="248" spans="2:27" x14ac:dyDescent="0.3">
      <c r="B248" s="240" t="s">
        <v>1614</v>
      </c>
      <c r="C248" s="51" t="s">
        <v>1605</v>
      </c>
      <c r="D248" s="59" t="s">
        <v>1513</v>
      </c>
      <c r="E248" s="304" t="s">
        <v>1514</v>
      </c>
      <c r="F248" s="292">
        <v>3</v>
      </c>
      <c r="G248" s="313">
        <f t="shared" ref="G248:K248" si="69">SUM(G240,G244)</f>
        <v>0</v>
      </c>
      <c r="H248" s="313">
        <f t="shared" si="69"/>
        <v>0</v>
      </c>
      <c r="I248" s="313">
        <f t="shared" si="69"/>
        <v>0</v>
      </c>
      <c r="J248" s="313">
        <f t="shared" si="69"/>
        <v>0</v>
      </c>
      <c r="K248" s="313">
        <f t="shared" si="69"/>
        <v>0</v>
      </c>
      <c r="L248" s="313">
        <f>SUM(L240,L244)</f>
        <v>0</v>
      </c>
      <c r="M248" s="313">
        <f t="shared" ref="M248:AA248" si="70">SUM(M240,M244)</f>
        <v>0.30199999999999999</v>
      </c>
      <c r="N248" s="313">
        <f t="shared" si="70"/>
        <v>0.30199999999999999</v>
      </c>
      <c r="O248" s="313">
        <f t="shared" si="70"/>
        <v>0.30199999999999999</v>
      </c>
      <c r="P248" s="313">
        <f t="shared" si="70"/>
        <v>0.30199999999999999</v>
      </c>
      <c r="Q248" s="313">
        <f t="shared" si="70"/>
        <v>0.30199999999999999</v>
      </c>
      <c r="R248" s="313">
        <f t="shared" si="70"/>
        <v>0</v>
      </c>
      <c r="S248" s="313">
        <f t="shared" si="70"/>
        <v>0</v>
      </c>
      <c r="T248" s="313">
        <f t="shared" si="70"/>
        <v>0</v>
      </c>
      <c r="U248" s="313">
        <f t="shared" si="70"/>
        <v>0</v>
      </c>
      <c r="V248" s="313">
        <f t="shared" si="70"/>
        <v>0</v>
      </c>
      <c r="W248" s="313">
        <f t="shared" si="70"/>
        <v>0</v>
      </c>
      <c r="X248" s="313">
        <f t="shared" si="70"/>
        <v>0</v>
      </c>
      <c r="Y248" s="313">
        <f t="shared" si="70"/>
        <v>0</v>
      </c>
      <c r="Z248" s="313">
        <f t="shared" si="70"/>
        <v>0</v>
      </c>
      <c r="AA248" s="313">
        <f t="shared" si="70"/>
        <v>0</v>
      </c>
    </row>
    <row r="249" spans="2:27" x14ac:dyDescent="0.3">
      <c r="B249" s="240" t="s">
        <v>1615</v>
      </c>
      <c r="C249" s="51" t="s">
        <v>1616</v>
      </c>
      <c r="D249" s="59" t="s">
        <v>1322</v>
      </c>
      <c r="E249" s="304" t="s">
        <v>1514</v>
      </c>
      <c r="F249" s="292">
        <v>3</v>
      </c>
      <c r="G249" s="419"/>
      <c r="H249" s="419"/>
      <c r="I249" s="419"/>
      <c r="J249" s="419"/>
      <c r="K249" s="419"/>
      <c r="L249" s="420"/>
      <c r="M249" s="1181">
        <v>0</v>
      </c>
      <c r="N249" s="1181">
        <v>0</v>
      </c>
      <c r="O249" s="1181">
        <v>0</v>
      </c>
      <c r="P249" s="1181">
        <v>0</v>
      </c>
      <c r="Q249" s="1181">
        <v>0</v>
      </c>
      <c r="R249" s="1181">
        <v>0</v>
      </c>
      <c r="S249" s="1181">
        <v>0</v>
      </c>
      <c r="T249" s="1181">
        <v>0</v>
      </c>
      <c r="U249" s="1181">
        <v>0</v>
      </c>
      <c r="V249" s="1181">
        <v>0</v>
      </c>
      <c r="W249" s="1181">
        <v>0</v>
      </c>
      <c r="X249" s="1181">
        <v>0</v>
      </c>
      <c r="Y249" s="1181">
        <v>0</v>
      </c>
      <c r="Z249" s="1181">
        <v>0</v>
      </c>
      <c r="AA249" s="1181">
        <v>0</v>
      </c>
    </row>
    <row r="250" spans="2:27" x14ac:dyDescent="0.3">
      <c r="B250" s="240" t="s">
        <v>1617</v>
      </c>
      <c r="C250" s="51" t="s">
        <v>1618</v>
      </c>
      <c r="D250" s="59" t="s">
        <v>1322</v>
      </c>
      <c r="E250" s="304" t="s">
        <v>1514</v>
      </c>
      <c r="F250" s="292">
        <v>3</v>
      </c>
      <c r="G250" s="419"/>
      <c r="H250" s="419"/>
      <c r="I250" s="419"/>
      <c r="J250" s="419"/>
      <c r="K250" s="419"/>
      <c r="L250" s="420"/>
      <c r="M250" s="1181">
        <v>0</v>
      </c>
      <c r="N250" s="1181">
        <v>0</v>
      </c>
      <c r="O250" s="1181">
        <v>0</v>
      </c>
      <c r="P250" s="1181">
        <v>0</v>
      </c>
      <c r="Q250" s="1181">
        <v>0</v>
      </c>
      <c r="R250" s="1181">
        <v>0</v>
      </c>
      <c r="S250" s="1181">
        <v>0</v>
      </c>
      <c r="T250" s="1181">
        <v>0</v>
      </c>
      <c r="U250" s="1181">
        <v>0</v>
      </c>
      <c r="V250" s="1181">
        <v>0</v>
      </c>
      <c r="W250" s="1181">
        <v>0</v>
      </c>
      <c r="X250" s="1181">
        <v>0</v>
      </c>
      <c r="Y250" s="1181">
        <v>0</v>
      </c>
      <c r="Z250" s="1181">
        <v>0</v>
      </c>
      <c r="AA250" s="1181">
        <v>0</v>
      </c>
    </row>
    <row r="251" spans="2:27" x14ac:dyDescent="0.3">
      <c r="B251" s="240" t="s">
        <v>1619</v>
      </c>
      <c r="C251" s="51" t="s">
        <v>1620</v>
      </c>
      <c r="D251" s="59" t="s">
        <v>1322</v>
      </c>
      <c r="E251" s="304" t="s">
        <v>1514</v>
      </c>
      <c r="F251" s="292">
        <v>3</v>
      </c>
      <c r="G251" s="419"/>
      <c r="H251" s="419"/>
      <c r="I251" s="419"/>
      <c r="J251" s="419"/>
      <c r="K251" s="419"/>
      <c r="L251" s="420"/>
      <c r="M251" s="1181">
        <v>0.186</v>
      </c>
      <c r="N251" s="1181">
        <v>0.186</v>
      </c>
      <c r="O251" s="1181">
        <v>0.186</v>
      </c>
      <c r="P251" s="1181">
        <v>0.186</v>
      </c>
      <c r="Q251" s="1181">
        <v>0.186</v>
      </c>
      <c r="R251" s="1181">
        <v>0</v>
      </c>
      <c r="S251" s="1181">
        <v>0</v>
      </c>
      <c r="T251" s="1181">
        <v>0</v>
      </c>
      <c r="U251" s="1181">
        <v>0</v>
      </c>
      <c r="V251" s="1181">
        <v>0</v>
      </c>
      <c r="W251" s="1181">
        <v>0</v>
      </c>
      <c r="X251" s="1181">
        <v>0</v>
      </c>
      <c r="Y251" s="1181">
        <v>0</v>
      </c>
      <c r="Z251" s="1181">
        <v>0</v>
      </c>
      <c r="AA251" s="1181">
        <v>0</v>
      </c>
    </row>
    <row r="252" spans="2:27" x14ac:dyDescent="0.3">
      <c r="B252" s="240" t="s">
        <v>1621</v>
      </c>
      <c r="C252" s="51" t="s">
        <v>1616</v>
      </c>
      <c r="D252" s="59" t="s">
        <v>1317</v>
      </c>
      <c r="E252" s="304" t="s">
        <v>1514</v>
      </c>
      <c r="F252" s="292">
        <v>3</v>
      </c>
      <c r="G252" s="419"/>
      <c r="H252" s="419"/>
      <c r="I252" s="419"/>
      <c r="J252" s="419"/>
      <c r="K252" s="419"/>
      <c r="L252" s="420"/>
      <c r="M252" s="1181">
        <v>0</v>
      </c>
      <c r="N252" s="1181">
        <v>0</v>
      </c>
      <c r="O252" s="1181">
        <v>0</v>
      </c>
      <c r="P252" s="1181">
        <v>0</v>
      </c>
      <c r="Q252" s="1181">
        <v>0</v>
      </c>
      <c r="R252" s="1181">
        <v>0</v>
      </c>
      <c r="S252" s="1181">
        <v>0</v>
      </c>
      <c r="T252" s="1181">
        <v>0</v>
      </c>
      <c r="U252" s="1181">
        <v>0</v>
      </c>
      <c r="V252" s="1181">
        <v>0</v>
      </c>
      <c r="W252" s="1181">
        <v>0</v>
      </c>
      <c r="X252" s="1181">
        <v>0</v>
      </c>
      <c r="Y252" s="1181">
        <v>0</v>
      </c>
      <c r="Z252" s="1181">
        <v>0</v>
      </c>
      <c r="AA252" s="1181">
        <v>0</v>
      </c>
    </row>
    <row r="253" spans="2:27" x14ac:dyDescent="0.3">
      <c r="B253" s="240" t="s">
        <v>1622</v>
      </c>
      <c r="C253" s="51" t="s">
        <v>1618</v>
      </c>
      <c r="D253" s="59" t="s">
        <v>1317</v>
      </c>
      <c r="E253" s="304" t="s">
        <v>1514</v>
      </c>
      <c r="F253" s="292">
        <v>3</v>
      </c>
      <c r="G253" s="419"/>
      <c r="H253" s="419"/>
      <c r="I253" s="419"/>
      <c r="J253" s="419"/>
      <c r="K253" s="419"/>
      <c r="L253" s="420"/>
      <c r="M253" s="1181">
        <v>0</v>
      </c>
      <c r="N253" s="1181">
        <v>0</v>
      </c>
      <c r="O253" s="1181">
        <v>0</v>
      </c>
      <c r="P253" s="1181">
        <v>0</v>
      </c>
      <c r="Q253" s="1181">
        <v>0</v>
      </c>
      <c r="R253" s="1181">
        <v>0</v>
      </c>
      <c r="S253" s="1181">
        <v>0</v>
      </c>
      <c r="T253" s="1181">
        <v>0</v>
      </c>
      <c r="U253" s="1181">
        <v>0</v>
      </c>
      <c r="V253" s="1181">
        <v>0</v>
      </c>
      <c r="W253" s="1181">
        <v>0</v>
      </c>
      <c r="X253" s="1181">
        <v>0</v>
      </c>
      <c r="Y253" s="1181">
        <v>0</v>
      </c>
      <c r="Z253" s="1181">
        <v>0</v>
      </c>
      <c r="AA253" s="1181">
        <v>0</v>
      </c>
    </row>
    <row r="254" spans="2:27" x14ac:dyDescent="0.3">
      <c r="B254" s="240" t="s">
        <v>1623</v>
      </c>
      <c r="C254" s="51" t="s">
        <v>1620</v>
      </c>
      <c r="D254" s="59" t="s">
        <v>1317</v>
      </c>
      <c r="E254" s="304" t="s">
        <v>1514</v>
      </c>
      <c r="F254" s="292">
        <v>3</v>
      </c>
      <c r="G254" s="419"/>
      <c r="H254" s="419"/>
      <c r="I254" s="419"/>
      <c r="J254" s="419"/>
      <c r="K254" s="419"/>
      <c r="L254" s="420"/>
      <c r="M254" s="1181">
        <v>0</v>
      </c>
      <c r="N254" s="1181">
        <v>0</v>
      </c>
      <c r="O254" s="1181">
        <v>0</v>
      </c>
      <c r="P254" s="1181">
        <v>0</v>
      </c>
      <c r="Q254" s="1181">
        <v>0</v>
      </c>
      <c r="R254" s="1181">
        <v>0</v>
      </c>
      <c r="S254" s="1181">
        <v>0</v>
      </c>
      <c r="T254" s="1181">
        <v>0</v>
      </c>
      <c r="U254" s="1181">
        <v>0</v>
      </c>
      <c r="V254" s="1181">
        <v>0</v>
      </c>
      <c r="W254" s="1181">
        <v>0</v>
      </c>
      <c r="X254" s="1181">
        <v>0</v>
      </c>
      <c r="Y254" s="1181">
        <v>0</v>
      </c>
      <c r="Z254" s="1181">
        <v>0</v>
      </c>
      <c r="AA254" s="1181">
        <v>0</v>
      </c>
    </row>
    <row r="255" spans="2:27" x14ac:dyDescent="0.3">
      <c r="B255" s="240" t="s">
        <v>1624</v>
      </c>
      <c r="C255" s="51" t="s">
        <v>1616</v>
      </c>
      <c r="D255" s="59" t="s">
        <v>1513</v>
      </c>
      <c r="E255" s="304" t="s">
        <v>1514</v>
      </c>
      <c r="F255" s="292">
        <v>3</v>
      </c>
      <c r="G255" s="313">
        <f>SUM(G249,G252)</f>
        <v>0</v>
      </c>
      <c r="H255" s="313">
        <f t="shared" ref="H255:AA255" si="71">SUM(H249,H252)</f>
        <v>0</v>
      </c>
      <c r="I255" s="313">
        <f t="shared" si="71"/>
        <v>0</v>
      </c>
      <c r="J255" s="313">
        <f t="shared" si="71"/>
        <v>0</v>
      </c>
      <c r="K255" s="313">
        <f t="shared" si="71"/>
        <v>0</v>
      </c>
      <c r="L255" s="313">
        <f t="shared" si="71"/>
        <v>0</v>
      </c>
      <c r="M255" s="313">
        <f t="shared" si="71"/>
        <v>0</v>
      </c>
      <c r="N255" s="313">
        <f t="shared" si="71"/>
        <v>0</v>
      </c>
      <c r="O255" s="313">
        <f t="shared" si="71"/>
        <v>0</v>
      </c>
      <c r="P255" s="313">
        <f t="shared" si="71"/>
        <v>0</v>
      </c>
      <c r="Q255" s="313">
        <f t="shared" si="71"/>
        <v>0</v>
      </c>
      <c r="R255" s="313">
        <f t="shared" si="71"/>
        <v>0</v>
      </c>
      <c r="S255" s="313">
        <f t="shared" si="71"/>
        <v>0</v>
      </c>
      <c r="T255" s="313">
        <f t="shared" si="71"/>
        <v>0</v>
      </c>
      <c r="U255" s="313">
        <f t="shared" si="71"/>
        <v>0</v>
      </c>
      <c r="V255" s="313">
        <f t="shared" si="71"/>
        <v>0</v>
      </c>
      <c r="W255" s="313">
        <f t="shared" si="71"/>
        <v>0</v>
      </c>
      <c r="X255" s="313">
        <f t="shared" si="71"/>
        <v>0</v>
      </c>
      <c r="Y255" s="313">
        <f t="shared" si="71"/>
        <v>0</v>
      </c>
      <c r="Z255" s="313">
        <f t="shared" si="71"/>
        <v>0</v>
      </c>
      <c r="AA255" s="314">
        <f t="shared" si="71"/>
        <v>0</v>
      </c>
    </row>
    <row r="256" spans="2:27" x14ac:dyDescent="0.3">
      <c r="B256" s="240" t="s">
        <v>1625</v>
      </c>
      <c r="C256" s="51" t="s">
        <v>1618</v>
      </c>
      <c r="D256" s="59" t="s">
        <v>1513</v>
      </c>
      <c r="E256" s="304" t="s">
        <v>1514</v>
      </c>
      <c r="F256" s="292">
        <v>3</v>
      </c>
      <c r="G256" s="313">
        <f t="shared" ref="G256:AA256" si="72">SUM(G250,G253)</f>
        <v>0</v>
      </c>
      <c r="H256" s="313">
        <f t="shared" si="72"/>
        <v>0</v>
      </c>
      <c r="I256" s="313">
        <f t="shared" si="72"/>
        <v>0</v>
      </c>
      <c r="J256" s="313">
        <f t="shared" si="72"/>
        <v>0</v>
      </c>
      <c r="K256" s="313">
        <f t="shared" si="72"/>
        <v>0</v>
      </c>
      <c r="L256" s="313">
        <f t="shared" si="72"/>
        <v>0</v>
      </c>
      <c r="M256" s="313">
        <f t="shared" si="72"/>
        <v>0</v>
      </c>
      <c r="N256" s="313">
        <f t="shared" si="72"/>
        <v>0</v>
      </c>
      <c r="O256" s="313">
        <f t="shared" si="72"/>
        <v>0</v>
      </c>
      <c r="P256" s="313">
        <f t="shared" si="72"/>
        <v>0</v>
      </c>
      <c r="Q256" s="313">
        <f t="shared" si="72"/>
        <v>0</v>
      </c>
      <c r="R256" s="313">
        <f t="shared" si="72"/>
        <v>0</v>
      </c>
      <c r="S256" s="313">
        <f t="shared" si="72"/>
        <v>0</v>
      </c>
      <c r="T256" s="313">
        <f t="shared" si="72"/>
        <v>0</v>
      </c>
      <c r="U256" s="313">
        <f t="shared" si="72"/>
        <v>0</v>
      </c>
      <c r="V256" s="313">
        <f t="shared" si="72"/>
        <v>0</v>
      </c>
      <c r="W256" s="313">
        <f t="shared" si="72"/>
        <v>0</v>
      </c>
      <c r="X256" s="313">
        <f t="shared" si="72"/>
        <v>0</v>
      </c>
      <c r="Y256" s="313">
        <f t="shared" si="72"/>
        <v>0</v>
      </c>
      <c r="Z256" s="313">
        <f t="shared" si="72"/>
        <v>0</v>
      </c>
      <c r="AA256" s="314">
        <f t="shared" si="72"/>
        <v>0</v>
      </c>
    </row>
    <row r="257" spans="2:27" x14ac:dyDescent="0.3">
      <c r="B257" s="240" t="s">
        <v>1626</v>
      </c>
      <c r="C257" s="51" t="s">
        <v>1620</v>
      </c>
      <c r="D257" s="59" t="s">
        <v>1513</v>
      </c>
      <c r="E257" s="304" t="s">
        <v>1514</v>
      </c>
      <c r="F257" s="292">
        <v>3</v>
      </c>
      <c r="G257" s="313">
        <f t="shared" ref="G257:AA257" si="73">SUM(G251,G254)</f>
        <v>0</v>
      </c>
      <c r="H257" s="313">
        <f t="shared" si="73"/>
        <v>0</v>
      </c>
      <c r="I257" s="313">
        <f t="shared" si="73"/>
        <v>0</v>
      </c>
      <c r="J257" s="313">
        <f t="shared" si="73"/>
        <v>0</v>
      </c>
      <c r="K257" s="313">
        <f t="shared" si="73"/>
        <v>0</v>
      </c>
      <c r="L257" s="313">
        <f t="shared" si="73"/>
        <v>0</v>
      </c>
      <c r="M257" s="313">
        <f t="shared" si="73"/>
        <v>0.186</v>
      </c>
      <c r="N257" s="313">
        <f t="shared" si="73"/>
        <v>0.186</v>
      </c>
      <c r="O257" s="313">
        <f t="shared" si="73"/>
        <v>0.186</v>
      </c>
      <c r="P257" s="313">
        <f t="shared" si="73"/>
        <v>0.186</v>
      </c>
      <c r="Q257" s="313">
        <f t="shared" si="73"/>
        <v>0.186</v>
      </c>
      <c r="R257" s="313">
        <f t="shared" si="73"/>
        <v>0</v>
      </c>
      <c r="S257" s="313">
        <f t="shared" si="73"/>
        <v>0</v>
      </c>
      <c r="T257" s="313">
        <f t="shared" si="73"/>
        <v>0</v>
      </c>
      <c r="U257" s="313">
        <f t="shared" si="73"/>
        <v>0</v>
      </c>
      <c r="V257" s="313">
        <f t="shared" si="73"/>
        <v>0</v>
      </c>
      <c r="W257" s="313">
        <f t="shared" si="73"/>
        <v>0</v>
      </c>
      <c r="X257" s="313">
        <f t="shared" si="73"/>
        <v>0</v>
      </c>
      <c r="Y257" s="313">
        <f t="shared" si="73"/>
        <v>0</v>
      </c>
      <c r="Z257" s="313">
        <f t="shared" si="73"/>
        <v>0</v>
      </c>
      <c r="AA257" s="314">
        <f t="shared" si="73"/>
        <v>0</v>
      </c>
    </row>
    <row r="258" spans="2:27" x14ac:dyDescent="0.3">
      <c r="B258" s="240" t="s">
        <v>1627</v>
      </c>
      <c r="C258" s="51" t="s">
        <v>1628</v>
      </c>
      <c r="D258" s="59" t="s">
        <v>1513</v>
      </c>
      <c r="E258" s="304" t="s">
        <v>1514</v>
      </c>
      <c r="F258" s="292">
        <v>3</v>
      </c>
      <c r="G258" s="309">
        <f>SUM(G248,G239,G230,G255,G256,G257)</f>
        <v>0</v>
      </c>
      <c r="H258" s="309">
        <f t="shared" ref="H258:AA258" si="74">SUM(H248,H239,H230,H255,H256,H257)</f>
        <v>0</v>
      </c>
      <c r="I258" s="309">
        <f t="shared" si="74"/>
        <v>0</v>
      </c>
      <c r="J258" s="309">
        <f t="shared" si="74"/>
        <v>0</v>
      </c>
      <c r="K258" s="309">
        <f t="shared" si="74"/>
        <v>0</v>
      </c>
      <c r="L258" s="309">
        <f t="shared" si="74"/>
        <v>0</v>
      </c>
      <c r="M258" s="309">
        <f t="shared" si="74"/>
        <v>0.99</v>
      </c>
      <c r="N258" s="309">
        <f t="shared" si="74"/>
        <v>0.99</v>
      </c>
      <c r="O258" s="309">
        <f t="shared" si="74"/>
        <v>0.99</v>
      </c>
      <c r="P258" s="309">
        <f t="shared" si="74"/>
        <v>0.99</v>
      </c>
      <c r="Q258" s="309">
        <f t="shared" si="74"/>
        <v>0.99</v>
      </c>
      <c r="R258" s="309">
        <f t="shared" si="74"/>
        <v>2.5099999999999998</v>
      </c>
      <c r="S258" s="309">
        <f t="shared" si="74"/>
        <v>0</v>
      </c>
      <c r="T258" s="309">
        <f t="shared" si="74"/>
        <v>0</v>
      </c>
      <c r="U258" s="309">
        <f t="shared" si="74"/>
        <v>0</v>
      </c>
      <c r="V258" s="309">
        <f t="shared" si="74"/>
        <v>0</v>
      </c>
      <c r="W258" s="309">
        <f t="shared" si="74"/>
        <v>0</v>
      </c>
      <c r="X258" s="309">
        <f t="shared" si="74"/>
        <v>0</v>
      </c>
      <c r="Y258" s="309">
        <f t="shared" si="74"/>
        <v>0</v>
      </c>
      <c r="Z258" s="309">
        <f t="shared" si="74"/>
        <v>0</v>
      </c>
      <c r="AA258" s="309">
        <f t="shared" si="74"/>
        <v>0</v>
      </c>
    </row>
    <row r="259" spans="2:27" ht="14.5" thickBot="1" x14ac:dyDescent="0.35">
      <c r="B259" s="242"/>
      <c r="C259" s="243"/>
      <c r="D259" s="63"/>
      <c r="E259" s="244"/>
      <c r="F259" s="245"/>
      <c r="G259" s="254"/>
      <c r="H259" s="254"/>
      <c r="I259" s="254"/>
      <c r="J259" s="254"/>
      <c r="K259" s="254"/>
      <c r="L259" s="254"/>
      <c r="M259" s="254"/>
      <c r="N259" s="254"/>
      <c r="O259" s="254"/>
      <c r="P259" s="254"/>
      <c r="Q259" s="254"/>
      <c r="R259" s="254"/>
      <c r="S259" s="254"/>
      <c r="T259" s="254"/>
      <c r="U259" s="254"/>
      <c r="V259" s="254"/>
      <c r="W259" s="254"/>
      <c r="X259" s="254"/>
      <c r="Y259" s="254"/>
      <c r="Z259" s="254"/>
      <c r="AA259" s="254"/>
    </row>
    <row r="260" spans="2:27" ht="56.5" thickBot="1" x14ac:dyDescent="0.35">
      <c r="B260" s="206" t="s">
        <v>1629</v>
      </c>
      <c r="G260" s="1738" t="s">
        <v>1534</v>
      </c>
      <c r="H260" s="1783"/>
      <c r="I260" s="1783"/>
      <c r="J260" s="1783"/>
      <c r="K260" s="1783"/>
      <c r="L260" s="1783"/>
      <c r="M260" s="1783"/>
      <c r="N260" s="1783"/>
      <c r="O260" s="1783"/>
      <c r="P260" s="1783"/>
      <c r="Q260" s="1739"/>
      <c r="R260" s="1738" t="s">
        <v>1535</v>
      </c>
      <c r="S260" s="1783"/>
      <c r="T260" s="1783"/>
      <c r="U260" s="1783"/>
      <c r="V260" s="1783"/>
      <c r="W260" s="1783"/>
      <c r="X260" s="1783"/>
      <c r="Y260" s="1783"/>
      <c r="Z260" s="1783"/>
      <c r="AA260" s="1739"/>
    </row>
    <row r="261" spans="2:27" ht="42.5" thickBot="1" x14ac:dyDescent="0.35">
      <c r="B261" s="247" t="s">
        <v>1536</v>
      </c>
      <c r="C261" s="248" t="s">
        <v>1509</v>
      </c>
      <c r="D261" s="248" t="s">
        <v>1510</v>
      </c>
      <c r="E261" s="248" t="s">
        <v>219</v>
      </c>
      <c r="F261" s="249" t="s">
        <v>220</v>
      </c>
      <c r="G261" s="247" t="s">
        <v>221</v>
      </c>
      <c r="H261" s="248" t="s">
        <v>222</v>
      </c>
      <c r="I261" s="248" t="s">
        <v>223</v>
      </c>
      <c r="J261" s="248" t="s">
        <v>224</v>
      </c>
      <c r="K261" s="248" t="s">
        <v>225</v>
      </c>
      <c r="L261" s="248" t="s">
        <v>226</v>
      </c>
      <c r="M261" s="248" t="s">
        <v>227</v>
      </c>
      <c r="N261" s="248" t="s">
        <v>228</v>
      </c>
      <c r="O261" s="248" t="s">
        <v>229</v>
      </c>
      <c r="P261" s="248" t="s">
        <v>230</v>
      </c>
      <c r="Q261" s="249" t="s">
        <v>231</v>
      </c>
      <c r="R261" s="252" t="s">
        <v>1537</v>
      </c>
      <c r="S261" s="250" t="s">
        <v>1538</v>
      </c>
      <c r="T261" s="250" t="s">
        <v>1539</v>
      </c>
      <c r="U261" s="250" t="s">
        <v>1540</v>
      </c>
      <c r="V261" s="250" t="s">
        <v>1541</v>
      </c>
      <c r="W261" s="250" t="s">
        <v>1542</v>
      </c>
      <c r="X261" s="250" t="s">
        <v>1543</v>
      </c>
      <c r="Y261" s="250" t="s">
        <v>1544</v>
      </c>
      <c r="Z261" s="250" t="s">
        <v>1545</v>
      </c>
      <c r="AA261" s="251" t="s">
        <v>1546</v>
      </c>
    </row>
    <row r="262" spans="2:27" x14ac:dyDescent="0.3">
      <c r="B262" s="240" t="s">
        <v>1630</v>
      </c>
      <c r="C262" s="51" t="s">
        <v>1631</v>
      </c>
      <c r="D262" s="59" t="s">
        <v>1322</v>
      </c>
      <c r="E262" s="304" t="s">
        <v>1514</v>
      </c>
      <c r="F262" s="292">
        <v>3</v>
      </c>
      <c r="G262" s="313">
        <f t="shared" ref="G262:AA262" si="75">SUM(G203,G206,G209,G212,G215,G222,G231,G240)</f>
        <v>0</v>
      </c>
      <c r="H262" s="313">
        <f t="shared" si="75"/>
        <v>0</v>
      </c>
      <c r="I262" s="313">
        <f t="shared" si="75"/>
        <v>0</v>
      </c>
      <c r="J262" s="313">
        <f t="shared" si="75"/>
        <v>0</v>
      </c>
      <c r="K262" s="313">
        <f t="shared" si="75"/>
        <v>0</v>
      </c>
      <c r="L262" s="313">
        <f t="shared" si="75"/>
        <v>0</v>
      </c>
      <c r="M262" s="313">
        <f t="shared" si="75"/>
        <v>27.356399999999997</v>
      </c>
      <c r="N262" s="313">
        <f t="shared" si="75"/>
        <v>27.356399999999997</v>
      </c>
      <c r="O262" s="313">
        <f t="shared" si="75"/>
        <v>27.356399999999997</v>
      </c>
      <c r="P262" s="313">
        <f t="shared" si="75"/>
        <v>4.0263999999999998</v>
      </c>
      <c r="Q262" s="313">
        <f t="shared" si="75"/>
        <v>167.35640000000001</v>
      </c>
      <c r="R262" s="313">
        <f t="shared" si="75"/>
        <v>941.02800000000002</v>
      </c>
      <c r="S262" s="313">
        <f t="shared" si="75"/>
        <v>133.20349999999999</v>
      </c>
      <c r="T262" s="313">
        <f t="shared" si="75"/>
        <v>4.4224999999999994</v>
      </c>
      <c r="U262" s="313">
        <f t="shared" si="75"/>
        <v>0.88500000000000001</v>
      </c>
      <c r="V262" s="313">
        <f t="shared" si="75"/>
        <v>0</v>
      </c>
      <c r="W262" s="313">
        <f t="shared" si="75"/>
        <v>0</v>
      </c>
      <c r="X262" s="313">
        <f t="shared" si="75"/>
        <v>0</v>
      </c>
      <c r="Y262" s="313">
        <f t="shared" si="75"/>
        <v>0</v>
      </c>
      <c r="Z262" s="313">
        <f t="shared" si="75"/>
        <v>0</v>
      </c>
      <c r="AA262" s="313">
        <f t="shared" si="75"/>
        <v>0</v>
      </c>
    </row>
    <row r="263" spans="2:27" x14ac:dyDescent="0.3">
      <c r="B263" s="240" t="s">
        <v>1632</v>
      </c>
      <c r="C263" s="51" t="s">
        <v>1631</v>
      </c>
      <c r="D263" s="59" t="s">
        <v>1317</v>
      </c>
      <c r="E263" s="304" t="s">
        <v>1514</v>
      </c>
      <c r="F263" s="292">
        <v>3</v>
      </c>
      <c r="G263" s="313">
        <f t="shared" ref="G263:AA263" si="76">SUM(G204,G207,G210,G213,G216,G226,G235,G244)</f>
        <v>0</v>
      </c>
      <c r="H263" s="313">
        <f t="shared" si="76"/>
        <v>0</v>
      </c>
      <c r="I263" s="313">
        <f t="shared" si="76"/>
        <v>0</v>
      </c>
      <c r="J263" s="313">
        <f t="shared" si="76"/>
        <v>0</v>
      </c>
      <c r="K263" s="313">
        <f t="shared" si="76"/>
        <v>0</v>
      </c>
      <c r="L263" s="313">
        <f t="shared" si="76"/>
        <v>0</v>
      </c>
      <c r="M263" s="313">
        <f t="shared" si="76"/>
        <v>0.85099999999999998</v>
      </c>
      <c r="N263" s="313">
        <f t="shared" si="76"/>
        <v>0.85099999999999998</v>
      </c>
      <c r="O263" s="313">
        <f t="shared" si="76"/>
        <v>0.85099999999999998</v>
      </c>
      <c r="P263" s="313">
        <f t="shared" si="76"/>
        <v>0.85099999999999998</v>
      </c>
      <c r="Q263" s="313">
        <f t="shared" si="76"/>
        <v>0.85099999999999998</v>
      </c>
      <c r="R263" s="313">
        <f t="shared" si="76"/>
        <v>65.121000000000009</v>
      </c>
      <c r="S263" s="313">
        <f t="shared" si="76"/>
        <v>25.473500000000001</v>
      </c>
      <c r="T263" s="313">
        <f t="shared" si="76"/>
        <v>15.298499999999999</v>
      </c>
      <c r="U263" s="313">
        <f t="shared" si="76"/>
        <v>15.335999999999999</v>
      </c>
      <c r="V263" s="313">
        <f t="shared" si="76"/>
        <v>15.090999999999999</v>
      </c>
      <c r="W263" s="313">
        <f t="shared" si="76"/>
        <v>15.090999999999999</v>
      </c>
      <c r="X263" s="313">
        <f t="shared" si="76"/>
        <v>15.090999999999999</v>
      </c>
      <c r="Y263" s="313">
        <f t="shared" si="76"/>
        <v>15.090999999999999</v>
      </c>
      <c r="Z263" s="313">
        <f t="shared" si="76"/>
        <v>15.090999999999999</v>
      </c>
      <c r="AA263" s="313">
        <f t="shared" si="76"/>
        <v>15.090999999999999</v>
      </c>
    </row>
    <row r="264" spans="2:27" ht="14.5" thickBot="1" x14ac:dyDescent="0.35">
      <c r="B264" s="241" t="s">
        <v>1633</v>
      </c>
      <c r="C264" s="52" t="s">
        <v>1631</v>
      </c>
      <c r="D264" s="61" t="s">
        <v>1513</v>
      </c>
      <c r="E264" s="305" t="s">
        <v>1514</v>
      </c>
      <c r="F264" s="293">
        <v>3</v>
      </c>
      <c r="G264" s="309">
        <f t="shared" ref="G264:L264" si="77">SUM(G262:G263)</f>
        <v>0</v>
      </c>
      <c r="H264" s="309">
        <f t="shared" si="77"/>
        <v>0</v>
      </c>
      <c r="I264" s="309">
        <f t="shared" si="77"/>
        <v>0</v>
      </c>
      <c r="J264" s="309">
        <f t="shared" si="77"/>
        <v>0</v>
      </c>
      <c r="K264" s="309">
        <f t="shared" si="77"/>
        <v>0</v>
      </c>
      <c r="L264" s="309">
        <f t="shared" si="77"/>
        <v>0</v>
      </c>
      <c r="M264" s="309">
        <f t="shared" ref="M264:AA264" si="78">SUM(M262:M263)</f>
        <v>28.207399999999996</v>
      </c>
      <c r="N264" s="309">
        <f t="shared" si="78"/>
        <v>28.207399999999996</v>
      </c>
      <c r="O264" s="309">
        <f t="shared" si="78"/>
        <v>28.207399999999996</v>
      </c>
      <c r="P264" s="309">
        <f t="shared" si="78"/>
        <v>4.8773999999999997</v>
      </c>
      <c r="Q264" s="309">
        <f t="shared" si="78"/>
        <v>168.20740000000001</v>
      </c>
      <c r="R264" s="309">
        <f t="shared" si="78"/>
        <v>1006.149</v>
      </c>
      <c r="S264" s="309">
        <f t="shared" si="78"/>
        <v>158.67699999999999</v>
      </c>
      <c r="T264" s="309">
        <f t="shared" si="78"/>
        <v>19.720999999999997</v>
      </c>
      <c r="U264" s="309">
        <f t="shared" si="78"/>
        <v>16.221</v>
      </c>
      <c r="V264" s="309">
        <f t="shared" si="78"/>
        <v>15.090999999999999</v>
      </c>
      <c r="W264" s="309">
        <f t="shared" si="78"/>
        <v>15.090999999999999</v>
      </c>
      <c r="X264" s="309">
        <f t="shared" si="78"/>
        <v>15.090999999999999</v>
      </c>
      <c r="Y264" s="309">
        <f t="shared" si="78"/>
        <v>15.090999999999999</v>
      </c>
      <c r="Z264" s="309">
        <f t="shared" si="78"/>
        <v>15.090999999999999</v>
      </c>
      <c r="AA264" s="312">
        <f t="shared" si="78"/>
        <v>15.090999999999999</v>
      </c>
    </row>
    <row r="265" spans="2:27" ht="14.5" thickBot="1" x14ac:dyDescent="0.35">
      <c r="B265" s="242"/>
      <c r="C265" s="243"/>
      <c r="D265" s="63"/>
      <c r="E265" s="244"/>
      <c r="F265" s="245"/>
      <c r="G265" s="254"/>
      <c r="H265" s="254"/>
      <c r="I265" s="254"/>
      <c r="J265" s="254"/>
      <c r="K265" s="254"/>
      <c r="L265" s="254"/>
      <c r="M265" s="254"/>
      <c r="N265" s="254"/>
      <c r="O265" s="254"/>
      <c r="P265" s="254"/>
      <c r="Q265" s="254"/>
      <c r="R265" s="254"/>
      <c r="S265" s="254"/>
      <c r="T265" s="254"/>
      <c r="U265" s="254"/>
      <c r="V265" s="254"/>
      <c r="W265" s="254"/>
      <c r="X265" s="254"/>
      <c r="Y265" s="254"/>
      <c r="Z265" s="254"/>
      <c r="AA265" s="254"/>
    </row>
    <row r="266" spans="2:27" ht="42.5" thickBot="1" x14ac:dyDescent="0.35">
      <c r="B266" s="206" t="s">
        <v>1634</v>
      </c>
      <c r="G266" s="1738" t="s">
        <v>1534</v>
      </c>
      <c r="H266" s="1783"/>
      <c r="I266" s="1783"/>
      <c r="J266" s="1783"/>
      <c r="K266" s="1783"/>
      <c r="L266" s="1783"/>
      <c r="M266" s="1783"/>
      <c r="N266" s="1783"/>
      <c r="O266" s="1783"/>
      <c r="P266" s="1783"/>
      <c r="Q266" s="1739"/>
      <c r="R266" s="1738" t="s">
        <v>1535</v>
      </c>
      <c r="S266" s="1783"/>
      <c r="T266" s="1783"/>
      <c r="U266" s="1783"/>
      <c r="V266" s="1783"/>
      <c r="W266" s="1783"/>
      <c r="X266" s="1783"/>
      <c r="Y266" s="1783"/>
      <c r="Z266" s="1783"/>
      <c r="AA266" s="1739"/>
    </row>
    <row r="267" spans="2:27" ht="42.5" thickBot="1" x14ac:dyDescent="0.35">
      <c r="B267" s="247" t="s">
        <v>1536</v>
      </c>
      <c r="C267" s="248" t="s">
        <v>1635</v>
      </c>
      <c r="D267" s="248" t="s">
        <v>1510</v>
      </c>
      <c r="E267" s="248" t="s">
        <v>219</v>
      </c>
      <c r="F267" s="249" t="s">
        <v>220</v>
      </c>
      <c r="G267" s="247" t="s">
        <v>221</v>
      </c>
      <c r="H267" s="248" t="s">
        <v>222</v>
      </c>
      <c r="I267" s="248" t="s">
        <v>223</v>
      </c>
      <c r="J267" s="248" t="s">
        <v>224</v>
      </c>
      <c r="K267" s="248" t="s">
        <v>225</v>
      </c>
      <c r="L267" s="248" t="s">
        <v>226</v>
      </c>
      <c r="M267" s="248" t="s">
        <v>227</v>
      </c>
      <c r="N267" s="248" t="s">
        <v>228</v>
      </c>
      <c r="O267" s="248" t="s">
        <v>229</v>
      </c>
      <c r="P267" s="248" t="s">
        <v>230</v>
      </c>
      <c r="Q267" s="249" t="s">
        <v>231</v>
      </c>
      <c r="R267" s="252" t="s">
        <v>1537</v>
      </c>
      <c r="S267" s="250" t="s">
        <v>1538</v>
      </c>
      <c r="T267" s="250" t="s">
        <v>1539</v>
      </c>
      <c r="U267" s="250" t="s">
        <v>1540</v>
      </c>
      <c r="V267" s="250" t="s">
        <v>1541</v>
      </c>
      <c r="W267" s="250" t="s">
        <v>1542</v>
      </c>
      <c r="X267" s="250" t="s">
        <v>1543</v>
      </c>
      <c r="Y267" s="250" t="s">
        <v>1544</v>
      </c>
      <c r="Z267" s="250" t="s">
        <v>1545</v>
      </c>
      <c r="AA267" s="251" t="s">
        <v>1546</v>
      </c>
    </row>
    <row r="268" spans="2:27" x14ac:dyDescent="0.3">
      <c r="B268" s="1176" t="s">
        <v>1636</v>
      </c>
      <c r="C268" s="1177" t="s">
        <v>1637</v>
      </c>
      <c r="D268" s="1178" t="s">
        <v>1638</v>
      </c>
      <c r="E268" s="1179" t="s">
        <v>305</v>
      </c>
      <c r="F268" s="1180">
        <v>2</v>
      </c>
      <c r="G268" s="423"/>
      <c r="H268" s="423"/>
      <c r="I268" s="423"/>
      <c r="J268" s="423"/>
      <c r="K268" s="423"/>
      <c r="L268" s="423"/>
      <c r="M268" s="1471">
        <v>0</v>
      </c>
      <c r="N268" s="1471">
        <v>0</v>
      </c>
      <c r="O268" s="1471">
        <v>0</v>
      </c>
      <c r="P268" s="1471">
        <v>0</v>
      </c>
      <c r="Q268" s="1471">
        <v>0</v>
      </c>
      <c r="R268" s="317">
        <v>26</v>
      </c>
      <c r="S268" s="317">
        <v>44</v>
      </c>
      <c r="T268" s="317">
        <v>9</v>
      </c>
      <c r="U268" s="317">
        <v>0</v>
      </c>
      <c r="V268" s="317">
        <v>0</v>
      </c>
      <c r="W268" s="317">
        <v>0</v>
      </c>
      <c r="X268" s="317">
        <v>0</v>
      </c>
      <c r="Y268" s="317">
        <v>0</v>
      </c>
      <c r="Z268" s="317">
        <v>0</v>
      </c>
      <c r="AA268" s="317">
        <v>0</v>
      </c>
    </row>
    <row r="269" spans="2:27" x14ac:dyDescent="0.3">
      <c r="B269" s="240" t="s">
        <v>1639</v>
      </c>
      <c r="C269" s="51" t="s">
        <v>1640</v>
      </c>
      <c r="D269" s="59" t="s">
        <v>1638</v>
      </c>
      <c r="E269" s="60" t="s">
        <v>305</v>
      </c>
      <c r="F269" s="292">
        <v>2</v>
      </c>
      <c r="G269" s="423"/>
      <c r="H269" s="424"/>
      <c r="I269" s="424"/>
      <c r="J269" s="424"/>
      <c r="K269" s="424"/>
      <c r="L269" s="420"/>
      <c r="M269" s="317">
        <v>0.26</v>
      </c>
      <c r="N269" s="317">
        <v>0.26</v>
      </c>
      <c r="O269" s="317">
        <v>0.26</v>
      </c>
      <c r="P269" s="317">
        <v>0.26</v>
      </c>
      <c r="Q269" s="317">
        <v>0.26</v>
      </c>
      <c r="R269" s="317">
        <v>2.0699999999999998</v>
      </c>
      <c r="S269" s="317">
        <v>1.91</v>
      </c>
      <c r="T269" s="317">
        <v>1.65</v>
      </c>
      <c r="U269" s="317">
        <v>0.9</v>
      </c>
      <c r="V269" s="317">
        <v>0</v>
      </c>
      <c r="W269" s="317">
        <v>0</v>
      </c>
      <c r="X269" s="317">
        <v>0</v>
      </c>
      <c r="Y269" s="317">
        <v>0</v>
      </c>
      <c r="Z269" s="317">
        <v>0</v>
      </c>
      <c r="AA269" s="318">
        <v>0</v>
      </c>
    </row>
    <row r="270" spans="2:27" x14ac:dyDescent="0.3">
      <c r="B270" s="240" t="s">
        <v>1641</v>
      </c>
      <c r="C270" s="51" t="s">
        <v>1561</v>
      </c>
      <c r="D270" s="59" t="s">
        <v>1638</v>
      </c>
      <c r="E270" s="60" t="s">
        <v>305</v>
      </c>
      <c r="F270" s="292">
        <v>2</v>
      </c>
      <c r="G270" s="423"/>
      <c r="H270" s="424"/>
      <c r="I270" s="424"/>
      <c r="J270" s="424"/>
      <c r="K270" s="424"/>
      <c r="L270" s="420"/>
      <c r="M270" s="317">
        <v>0.48</v>
      </c>
      <c r="N270" s="317">
        <v>0.48</v>
      </c>
      <c r="O270" s="317">
        <v>0.48</v>
      </c>
      <c r="P270" s="317">
        <v>0.48</v>
      </c>
      <c r="Q270" s="317">
        <v>0.48</v>
      </c>
      <c r="R270" s="317">
        <v>1.71</v>
      </c>
      <c r="S270" s="317">
        <v>1.79</v>
      </c>
      <c r="T270" s="317">
        <v>0</v>
      </c>
      <c r="U270" s="317">
        <v>0</v>
      </c>
      <c r="V270" s="317">
        <v>0</v>
      </c>
      <c r="W270" s="317">
        <v>0</v>
      </c>
      <c r="X270" s="317">
        <v>0</v>
      </c>
      <c r="Y270" s="317">
        <v>0</v>
      </c>
      <c r="Z270" s="317">
        <v>0</v>
      </c>
      <c r="AA270" s="318">
        <v>0</v>
      </c>
    </row>
    <row r="271" spans="2:27" x14ac:dyDescent="0.3">
      <c r="B271" s="240" t="s">
        <v>1642</v>
      </c>
      <c r="C271" s="51" t="s">
        <v>1643</v>
      </c>
      <c r="D271" s="59" t="s">
        <v>1638</v>
      </c>
      <c r="E271" s="60" t="s">
        <v>305</v>
      </c>
      <c r="F271" s="292">
        <v>2</v>
      </c>
      <c r="G271" s="423"/>
      <c r="H271" s="424"/>
      <c r="I271" s="424"/>
      <c r="J271" s="424"/>
      <c r="K271" s="424"/>
      <c r="L271" s="420"/>
      <c r="M271" s="317">
        <v>0</v>
      </c>
      <c r="N271" s="317">
        <v>0</v>
      </c>
      <c r="O271" s="317">
        <v>0</v>
      </c>
      <c r="P271" s="317">
        <v>0</v>
      </c>
      <c r="Q271" s="317">
        <v>0</v>
      </c>
      <c r="R271" s="317">
        <v>0</v>
      </c>
      <c r="S271" s="317">
        <v>0</v>
      </c>
      <c r="T271" s="317">
        <v>0</v>
      </c>
      <c r="U271" s="317">
        <v>0</v>
      </c>
      <c r="V271" s="317">
        <v>0</v>
      </c>
      <c r="W271" s="317">
        <v>0</v>
      </c>
      <c r="X271" s="317">
        <v>0</v>
      </c>
      <c r="Y271" s="317">
        <v>0</v>
      </c>
      <c r="Z271" s="317">
        <v>0</v>
      </c>
      <c r="AA271" s="317">
        <v>0</v>
      </c>
    </row>
    <row r="272" spans="2:27" x14ac:dyDescent="0.3">
      <c r="B272" s="240" t="s">
        <v>1644</v>
      </c>
      <c r="C272" s="51" t="s">
        <v>1645</v>
      </c>
      <c r="D272" s="59" t="s">
        <v>1638</v>
      </c>
      <c r="E272" s="60" t="s">
        <v>305</v>
      </c>
      <c r="F272" s="292">
        <v>2</v>
      </c>
      <c r="G272" s="1175">
        <f>SUM(G273:G279)</f>
        <v>0</v>
      </c>
      <c r="H272" s="1175">
        <f t="shared" ref="H272:L272" si="79">SUM(H273:H279)</f>
        <v>0</v>
      </c>
      <c r="I272" s="1175">
        <f t="shared" si="79"/>
        <v>0</v>
      </c>
      <c r="J272" s="1175">
        <f t="shared" si="79"/>
        <v>0</v>
      </c>
      <c r="K272" s="1175">
        <f t="shared" si="79"/>
        <v>0</v>
      </c>
      <c r="L272" s="1175">
        <f t="shared" si="79"/>
        <v>0</v>
      </c>
      <c r="M272" s="1175">
        <f t="shared" ref="M272:AA272" si="80">SUM(M273:M279)</f>
        <v>0.53200000000000003</v>
      </c>
      <c r="N272" s="1175">
        <f t="shared" si="80"/>
        <v>0.53200000000000003</v>
      </c>
      <c r="O272" s="1175">
        <f t="shared" si="80"/>
        <v>0.53200000000000003</v>
      </c>
      <c r="P272" s="1175">
        <f t="shared" si="80"/>
        <v>0.53200000000000003</v>
      </c>
      <c r="Q272" s="1175">
        <f t="shared" si="80"/>
        <v>0.53200000000000003</v>
      </c>
      <c r="R272" s="1175">
        <f t="shared" si="80"/>
        <v>2</v>
      </c>
      <c r="S272" s="1175">
        <f t="shared" si="80"/>
        <v>0</v>
      </c>
      <c r="T272" s="1175">
        <f t="shared" si="80"/>
        <v>0</v>
      </c>
      <c r="U272" s="1175">
        <f t="shared" si="80"/>
        <v>0</v>
      </c>
      <c r="V272" s="1175">
        <f t="shared" si="80"/>
        <v>0</v>
      </c>
      <c r="W272" s="1175">
        <f t="shared" si="80"/>
        <v>0</v>
      </c>
      <c r="X272" s="1175">
        <f t="shared" si="80"/>
        <v>0</v>
      </c>
      <c r="Y272" s="1175">
        <f t="shared" si="80"/>
        <v>0</v>
      </c>
      <c r="Z272" s="1175">
        <f t="shared" si="80"/>
        <v>0</v>
      </c>
      <c r="AA272" s="1175">
        <f t="shared" si="80"/>
        <v>0</v>
      </c>
    </row>
    <row r="273" spans="2:27" x14ac:dyDescent="0.3">
      <c r="B273" s="240" t="s">
        <v>1646</v>
      </c>
      <c r="C273" s="51" t="s">
        <v>1647</v>
      </c>
      <c r="D273" s="59" t="s">
        <v>1638</v>
      </c>
      <c r="E273" s="60" t="s">
        <v>305</v>
      </c>
      <c r="F273" s="292">
        <v>2</v>
      </c>
      <c r="G273" s="423"/>
      <c r="H273" s="424"/>
      <c r="I273" s="424"/>
      <c r="J273" s="424"/>
      <c r="K273" s="424"/>
      <c r="L273" s="420"/>
      <c r="M273" s="317">
        <v>0</v>
      </c>
      <c r="N273" s="317">
        <v>0</v>
      </c>
      <c r="O273" s="317">
        <v>0</v>
      </c>
      <c r="P273" s="317">
        <v>0</v>
      </c>
      <c r="Q273" s="317">
        <v>0</v>
      </c>
      <c r="R273" s="317">
        <v>0</v>
      </c>
      <c r="S273" s="317">
        <v>0</v>
      </c>
      <c r="T273" s="317">
        <v>0</v>
      </c>
      <c r="U273" s="317">
        <v>0</v>
      </c>
      <c r="V273" s="317">
        <v>0</v>
      </c>
      <c r="W273" s="317">
        <v>0</v>
      </c>
      <c r="X273" s="317">
        <v>0</v>
      </c>
      <c r="Y273" s="317">
        <v>0</v>
      </c>
      <c r="Z273" s="317">
        <v>0</v>
      </c>
      <c r="AA273" s="317">
        <v>0</v>
      </c>
    </row>
    <row r="274" spans="2:27" x14ac:dyDescent="0.3">
      <c r="B274" s="240" t="s">
        <v>1648</v>
      </c>
      <c r="C274" s="51" t="s">
        <v>1649</v>
      </c>
      <c r="D274" s="59" t="s">
        <v>1638</v>
      </c>
      <c r="E274" s="60" t="s">
        <v>305</v>
      </c>
      <c r="F274" s="292">
        <v>2</v>
      </c>
      <c r="G274" s="423"/>
      <c r="H274" s="424"/>
      <c r="I274" s="424"/>
      <c r="J274" s="424"/>
      <c r="K274" s="424"/>
      <c r="L274" s="420"/>
      <c r="M274" s="317">
        <v>0</v>
      </c>
      <c r="N274" s="317">
        <v>0</v>
      </c>
      <c r="O274" s="317">
        <v>0</v>
      </c>
      <c r="P274" s="317">
        <v>0</v>
      </c>
      <c r="Q274" s="317">
        <v>0</v>
      </c>
      <c r="R274" s="317">
        <v>0</v>
      </c>
      <c r="S274" s="317">
        <v>0</v>
      </c>
      <c r="T274" s="317">
        <v>0</v>
      </c>
      <c r="U274" s="317">
        <v>0</v>
      </c>
      <c r="V274" s="317">
        <v>0</v>
      </c>
      <c r="W274" s="317">
        <v>0</v>
      </c>
      <c r="X274" s="317">
        <v>0</v>
      </c>
      <c r="Y274" s="317">
        <v>0</v>
      </c>
      <c r="Z274" s="317">
        <v>0</v>
      </c>
      <c r="AA274" s="317">
        <v>0</v>
      </c>
    </row>
    <row r="275" spans="2:27" x14ac:dyDescent="0.3">
      <c r="B275" s="240" t="s">
        <v>1650</v>
      </c>
      <c r="C275" s="51" t="s">
        <v>1651</v>
      </c>
      <c r="D275" s="59" t="s">
        <v>1638</v>
      </c>
      <c r="E275" s="60" t="s">
        <v>305</v>
      </c>
      <c r="F275" s="292">
        <v>2</v>
      </c>
      <c r="G275" s="423"/>
      <c r="H275" s="424"/>
      <c r="I275" s="424"/>
      <c r="J275" s="424"/>
      <c r="K275" s="424"/>
      <c r="L275" s="420"/>
      <c r="M275" s="317">
        <v>0.14199999999999999</v>
      </c>
      <c r="N275" s="317">
        <v>0.14199999999999999</v>
      </c>
      <c r="O275" s="317">
        <v>0.14199999999999999</v>
      </c>
      <c r="P275" s="317">
        <v>0.14199999999999999</v>
      </c>
      <c r="Q275" s="317">
        <v>0.14199999999999999</v>
      </c>
      <c r="R275" s="317">
        <v>0.71</v>
      </c>
      <c r="S275" s="317">
        <v>0</v>
      </c>
      <c r="T275" s="317">
        <v>0</v>
      </c>
      <c r="U275" s="317">
        <v>0</v>
      </c>
      <c r="V275" s="317">
        <v>0</v>
      </c>
      <c r="W275" s="317">
        <v>0</v>
      </c>
      <c r="X275" s="317">
        <v>0</v>
      </c>
      <c r="Y275" s="317">
        <v>0</v>
      </c>
      <c r="Z275" s="317">
        <v>0</v>
      </c>
      <c r="AA275" s="317">
        <v>0</v>
      </c>
    </row>
    <row r="276" spans="2:27" ht="28" x14ac:dyDescent="0.3">
      <c r="B276" s="240" t="s">
        <v>1652</v>
      </c>
      <c r="C276" s="51" t="s">
        <v>1653</v>
      </c>
      <c r="D276" s="59" t="s">
        <v>1638</v>
      </c>
      <c r="E276" s="60" t="s">
        <v>305</v>
      </c>
      <c r="F276" s="292">
        <v>2</v>
      </c>
      <c r="G276" s="423"/>
      <c r="H276" s="424"/>
      <c r="I276" s="424"/>
      <c r="J276" s="424"/>
      <c r="K276" s="424"/>
      <c r="L276" s="420"/>
      <c r="M276" s="317">
        <v>0</v>
      </c>
      <c r="N276" s="317">
        <v>0</v>
      </c>
      <c r="O276" s="317">
        <v>0</v>
      </c>
      <c r="P276" s="317">
        <v>0</v>
      </c>
      <c r="Q276" s="317">
        <v>0</v>
      </c>
      <c r="R276" s="317">
        <v>0</v>
      </c>
      <c r="S276" s="317">
        <v>0</v>
      </c>
      <c r="T276" s="317">
        <v>0</v>
      </c>
      <c r="U276" s="317">
        <v>0</v>
      </c>
      <c r="V276" s="317">
        <v>0</v>
      </c>
      <c r="W276" s="317">
        <v>0</v>
      </c>
      <c r="X276" s="317">
        <v>0</v>
      </c>
      <c r="Y276" s="317">
        <v>0</v>
      </c>
      <c r="Z276" s="317">
        <v>0</v>
      </c>
      <c r="AA276" s="317">
        <v>0</v>
      </c>
    </row>
    <row r="277" spans="2:27" ht="28" x14ac:dyDescent="0.3">
      <c r="B277" s="240" t="s">
        <v>1654</v>
      </c>
      <c r="C277" s="51" t="s">
        <v>1655</v>
      </c>
      <c r="D277" s="59" t="s">
        <v>1638</v>
      </c>
      <c r="E277" s="60" t="s">
        <v>305</v>
      </c>
      <c r="F277" s="292">
        <v>2</v>
      </c>
      <c r="G277" s="423"/>
      <c r="H277" s="424"/>
      <c r="I277" s="424"/>
      <c r="J277" s="424"/>
      <c r="K277" s="424"/>
      <c r="L277" s="420"/>
      <c r="M277" s="317">
        <v>0</v>
      </c>
      <c r="N277" s="317">
        <v>0</v>
      </c>
      <c r="O277" s="317">
        <v>0</v>
      </c>
      <c r="P277" s="317">
        <v>0</v>
      </c>
      <c r="Q277" s="317">
        <v>0</v>
      </c>
      <c r="R277" s="317">
        <v>0</v>
      </c>
      <c r="S277" s="317">
        <v>0</v>
      </c>
      <c r="T277" s="317">
        <v>0</v>
      </c>
      <c r="U277" s="317">
        <v>0</v>
      </c>
      <c r="V277" s="317">
        <v>0</v>
      </c>
      <c r="W277" s="317">
        <v>0</v>
      </c>
      <c r="X277" s="317">
        <v>0</v>
      </c>
      <c r="Y277" s="317">
        <v>0</v>
      </c>
      <c r="Z277" s="317">
        <v>0</v>
      </c>
      <c r="AA277" s="317">
        <v>0</v>
      </c>
    </row>
    <row r="278" spans="2:27" ht="28" x14ac:dyDescent="0.3">
      <c r="B278" s="240" t="s">
        <v>1656</v>
      </c>
      <c r="C278" s="51" t="s">
        <v>1657</v>
      </c>
      <c r="D278" s="59" t="s">
        <v>1638</v>
      </c>
      <c r="E278" s="60" t="s">
        <v>305</v>
      </c>
      <c r="F278" s="292">
        <v>2</v>
      </c>
      <c r="G278" s="423"/>
      <c r="H278" s="424"/>
      <c r="I278" s="424"/>
      <c r="J278" s="424"/>
      <c r="K278" s="424"/>
      <c r="L278" s="420"/>
      <c r="M278" s="317">
        <v>0</v>
      </c>
      <c r="N278" s="317">
        <v>0</v>
      </c>
      <c r="O278" s="317">
        <v>0</v>
      </c>
      <c r="P278" s="317">
        <v>0</v>
      </c>
      <c r="Q278" s="317">
        <v>0</v>
      </c>
      <c r="R278" s="317">
        <v>0</v>
      </c>
      <c r="S278" s="317">
        <v>0</v>
      </c>
      <c r="T278" s="317">
        <v>0</v>
      </c>
      <c r="U278" s="317">
        <v>0</v>
      </c>
      <c r="V278" s="317">
        <v>0</v>
      </c>
      <c r="W278" s="317">
        <v>0</v>
      </c>
      <c r="X278" s="317">
        <v>0</v>
      </c>
      <c r="Y278" s="317">
        <v>0</v>
      </c>
      <c r="Z278" s="317">
        <v>0</v>
      </c>
      <c r="AA278" s="317">
        <v>0</v>
      </c>
    </row>
    <row r="279" spans="2:27" ht="28.5" thickBot="1" x14ac:dyDescent="0.35">
      <c r="B279" s="241" t="s">
        <v>1658</v>
      </c>
      <c r="C279" s="52" t="s">
        <v>1659</v>
      </c>
      <c r="D279" s="61" t="s">
        <v>1638</v>
      </c>
      <c r="E279" s="62" t="s">
        <v>305</v>
      </c>
      <c r="F279" s="293">
        <v>2</v>
      </c>
      <c r="G279" s="423"/>
      <c r="H279" s="424"/>
      <c r="I279" s="424"/>
      <c r="J279" s="424"/>
      <c r="K279" s="424"/>
      <c r="L279" s="420"/>
      <c r="M279" s="317">
        <v>0.39</v>
      </c>
      <c r="N279" s="317">
        <v>0.39</v>
      </c>
      <c r="O279" s="317">
        <v>0.39</v>
      </c>
      <c r="P279" s="317">
        <v>0.39</v>
      </c>
      <c r="Q279" s="317">
        <v>0.39</v>
      </c>
      <c r="R279" s="317">
        <v>1.29</v>
      </c>
      <c r="S279" s="317">
        <v>0</v>
      </c>
      <c r="T279" s="317">
        <v>0</v>
      </c>
      <c r="U279" s="317">
        <v>0</v>
      </c>
      <c r="V279" s="317">
        <v>0</v>
      </c>
      <c r="W279" s="317">
        <v>0</v>
      </c>
      <c r="X279" s="317">
        <v>0</v>
      </c>
      <c r="Y279" s="317">
        <v>0</v>
      </c>
      <c r="Z279" s="317">
        <v>0</v>
      </c>
      <c r="AA279" s="317">
        <v>0</v>
      </c>
    </row>
    <row r="280" spans="2:27" x14ac:dyDescent="0.3">
      <c r="B280" s="242"/>
      <c r="C280" s="243"/>
      <c r="D280" s="63"/>
      <c r="E280" s="244"/>
      <c r="F280" s="245"/>
      <c r="G280" s="254"/>
      <c r="H280" s="254"/>
      <c r="I280" s="254"/>
      <c r="J280" s="254"/>
      <c r="K280" s="254"/>
      <c r="L280" s="254"/>
      <c r="M280" s="254"/>
      <c r="N280" s="254"/>
      <c r="O280" s="254"/>
      <c r="P280" s="254"/>
      <c r="Q280" s="254"/>
      <c r="R280" s="254"/>
      <c r="S280" s="254"/>
      <c r="T280" s="254"/>
      <c r="U280" s="254"/>
      <c r="V280" s="254"/>
      <c r="W280" s="254"/>
      <c r="X280" s="254"/>
      <c r="Y280" s="254"/>
      <c r="Z280" s="254"/>
      <c r="AA280" s="254"/>
    </row>
  </sheetData>
  <mergeCells count="34">
    <mergeCell ref="G5:Q5"/>
    <mergeCell ref="R5:AA5"/>
    <mergeCell ref="G11:Q11"/>
    <mergeCell ref="R11:AA11"/>
    <mergeCell ref="G30:Q30"/>
    <mergeCell ref="R30:AA30"/>
    <mergeCell ref="G70:Q70"/>
    <mergeCell ref="R70:AA70"/>
    <mergeCell ref="G76:Q76"/>
    <mergeCell ref="R76:AA76"/>
    <mergeCell ref="G91:Q91"/>
    <mergeCell ref="R91:AA91"/>
    <mergeCell ref="G100:Q100"/>
    <mergeCell ref="R100:AA100"/>
    <mergeCell ref="G106:Q106"/>
    <mergeCell ref="R106:AA106"/>
    <mergeCell ref="G125:Q125"/>
    <mergeCell ref="R125:AA125"/>
    <mergeCell ref="G260:Q260"/>
    <mergeCell ref="R260:AA260"/>
    <mergeCell ref="G266:Q266"/>
    <mergeCell ref="R266:AA266"/>
    <mergeCell ref="G165:Q165"/>
    <mergeCell ref="R165:AA165"/>
    <mergeCell ref="G171:Q171"/>
    <mergeCell ref="R171:AA171"/>
    <mergeCell ref="G186:Q186"/>
    <mergeCell ref="R186:AA186"/>
    <mergeCell ref="G195:Q195"/>
    <mergeCell ref="R195:AA195"/>
    <mergeCell ref="G201:Q201"/>
    <mergeCell ref="R201:AA201"/>
    <mergeCell ref="G220:Q220"/>
    <mergeCell ref="R220:AA220"/>
  </mergeCells>
  <pageMargins left="0.7" right="0.7" top="0.75" bottom="0.75" header="0.3" footer="0.3"/>
  <pageSetup paperSize="9"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B2:J133"/>
  <sheetViews>
    <sheetView zoomScale="70" zoomScaleNormal="70" workbookViewId="0">
      <selection activeCell="F7" sqref="F7"/>
    </sheetView>
  </sheetViews>
  <sheetFormatPr defaultRowHeight="15.5" x14ac:dyDescent="0.35"/>
  <cols>
    <col min="2" max="2" width="26.07421875" customWidth="1"/>
    <col min="3" max="3" width="21" customWidth="1"/>
    <col min="5" max="5" width="21.07421875" bestFit="1" customWidth="1"/>
    <col min="6" max="6" width="31.53515625" bestFit="1" customWidth="1"/>
    <col min="10" max="10" width="13.15234375" customWidth="1"/>
  </cols>
  <sheetData>
    <row r="2" spans="2:10" x14ac:dyDescent="0.35">
      <c r="B2" s="1169" t="s">
        <v>1669</v>
      </c>
      <c r="C2" s="1169" t="s">
        <v>798</v>
      </c>
      <c r="E2" s="1358" t="s">
        <v>1670</v>
      </c>
      <c r="F2" s="1359" t="s">
        <v>1671</v>
      </c>
      <c r="G2" s="1359" t="s">
        <v>1672</v>
      </c>
      <c r="H2" s="1359" t="s">
        <v>1673</v>
      </c>
      <c r="I2" s="1359" t="s">
        <v>1674</v>
      </c>
      <c r="J2" s="1360" t="s">
        <v>1675</v>
      </c>
    </row>
    <row r="3" spans="2:10" ht="28" x14ac:dyDescent="0.35">
      <c r="B3" s="1170" t="s">
        <v>1676</v>
      </c>
      <c r="C3" s="1171" t="s">
        <v>849</v>
      </c>
      <c r="E3" s="1352" t="s">
        <v>1677</v>
      </c>
      <c r="F3" s="1353" t="s">
        <v>1678</v>
      </c>
      <c r="G3" s="1353">
        <v>63</v>
      </c>
      <c r="H3" s="1353" t="s">
        <v>1679</v>
      </c>
      <c r="I3" s="1353" t="s">
        <v>1680</v>
      </c>
      <c r="J3" s="1354" t="s">
        <v>1681</v>
      </c>
    </row>
    <row r="4" spans="2:10" x14ac:dyDescent="0.35">
      <c r="B4" s="1172" t="s">
        <v>1682</v>
      </c>
      <c r="C4" s="1173" t="s">
        <v>849</v>
      </c>
      <c r="E4" s="1352" t="s">
        <v>1677</v>
      </c>
      <c r="F4" s="1353" t="s">
        <v>1683</v>
      </c>
      <c r="G4" s="1353">
        <v>62</v>
      </c>
      <c r="H4" s="1353" t="s">
        <v>1679</v>
      </c>
      <c r="I4" s="1353" t="s">
        <v>1684</v>
      </c>
      <c r="J4" s="1354" t="s">
        <v>1685</v>
      </c>
    </row>
    <row r="5" spans="2:10" x14ac:dyDescent="0.35">
      <c r="B5" s="1172" t="s">
        <v>1686</v>
      </c>
      <c r="C5" s="1173" t="s">
        <v>849</v>
      </c>
      <c r="E5" s="1352" t="s">
        <v>1677</v>
      </c>
      <c r="F5" s="1353" t="s">
        <v>1687</v>
      </c>
      <c r="G5" s="1353">
        <v>61</v>
      </c>
      <c r="H5" s="1353" t="s">
        <v>1679</v>
      </c>
      <c r="I5" s="1353" t="s">
        <v>1688</v>
      </c>
      <c r="J5" s="1354" t="s">
        <v>1689</v>
      </c>
    </row>
    <row r="6" spans="2:10" x14ac:dyDescent="0.35">
      <c r="B6" s="1172" t="s">
        <v>1690</v>
      </c>
      <c r="C6" s="1173" t="s">
        <v>849</v>
      </c>
      <c r="E6" s="1352" t="s">
        <v>1677</v>
      </c>
      <c r="F6" s="1353" t="s">
        <v>1691</v>
      </c>
      <c r="G6" s="1353">
        <v>64</v>
      </c>
      <c r="H6" s="1353" t="s">
        <v>1679</v>
      </c>
      <c r="I6" s="1353" t="s">
        <v>1692</v>
      </c>
      <c r="J6" s="1354" t="s">
        <v>1693</v>
      </c>
    </row>
    <row r="7" spans="2:10" x14ac:dyDescent="0.35">
      <c r="B7" s="1172" t="s">
        <v>1694</v>
      </c>
      <c r="C7" s="1173" t="s">
        <v>849</v>
      </c>
      <c r="E7" s="1352" t="s">
        <v>1677</v>
      </c>
      <c r="F7" s="1353" t="s">
        <v>1695</v>
      </c>
      <c r="G7" s="1353">
        <v>60</v>
      </c>
      <c r="H7" s="1353" t="s">
        <v>1679</v>
      </c>
      <c r="I7" s="1353" t="s">
        <v>1696</v>
      </c>
      <c r="J7" s="1354" t="s">
        <v>206</v>
      </c>
    </row>
    <row r="8" spans="2:10" ht="29" x14ac:dyDescent="0.35">
      <c r="B8" s="1173" t="s">
        <v>944</v>
      </c>
      <c r="C8" s="1173" t="s">
        <v>849</v>
      </c>
      <c r="E8" s="1352" t="s">
        <v>1677</v>
      </c>
      <c r="F8" s="1353" t="s">
        <v>1697</v>
      </c>
      <c r="G8" s="1353">
        <v>65</v>
      </c>
      <c r="H8" s="1353" t="s">
        <v>1679</v>
      </c>
      <c r="I8" s="1353" t="s">
        <v>1698</v>
      </c>
      <c r="J8" s="1354" t="s">
        <v>1699</v>
      </c>
    </row>
    <row r="9" spans="2:10" x14ac:dyDescent="0.35">
      <c r="B9" s="1173" t="s">
        <v>848</v>
      </c>
      <c r="C9" s="1173" t="s">
        <v>849</v>
      </c>
      <c r="E9" s="1352" t="s">
        <v>1677</v>
      </c>
      <c r="F9" s="1353" t="s">
        <v>1700</v>
      </c>
      <c r="G9" s="1353">
        <v>66</v>
      </c>
      <c r="H9" s="1353" t="s">
        <v>1679</v>
      </c>
      <c r="I9" s="1353" t="s">
        <v>1701</v>
      </c>
      <c r="J9" s="1354" t="s">
        <v>1702</v>
      </c>
    </row>
    <row r="10" spans="2:10" x14ac:dyDescent="0.35">
      <c r="B10" s="1173" t="s">
        <v>956</v>
      </c>
      <c r="C10" s="1173" t="s">
        <v>849</v>
      </c>
      <c r="E10" s="1352" t="s">
        <v>1677</v>
      </c>
      <c r="F10" s="1353" t="s">
        <v>1703</v>
      </c>
      <c r="G10" s="1353">
        <v>59</v>
      </c>
      <c r="H10" s="1353" t="s">
        <v>1679</v>
      </c>
      <c r="I10" s="1353" t="s">
        <v>1704</v>
      </c>
      <c r="J10" s="1354" t="s">
        <v>1186</v>
      </c>
    </row>
    <row r="11" spans="2:10" x14ac:dyDescent="0.35">
      <c r="B11" s="1173" t="s">
        <v>1174</v>
      </c>
      <c r="C11" s="1173" t="s">
        <v>849</v>
      </c>
      <c r="E11" s="1352" t="s">
        <v>1705</v>
      </c>
      <c r="F11" s="1353" t="s">
        <v>1706</v>
      </c>
      <c r="G11" s="1353"/>
      <c r="H11" s="1353" t="s">
        <v>1707</v>
      </c>
      <c r="I11" s="1353" t="s">
        <v>1708</v>
      </c>
      <c r="J11" s="1354" t="s">
        <v>970</v>
      </c>
    </row>
    <row r="12" spans="2:10" x14ac:dyDescent="0.35">
      <c r="B12" s="1172" t="s">
        <v>978</v>
      </c>
      <c r="C12" s="1173" t="s">
        <v>849</v>
      </c>
      <c r="E12" s="1352" t="s">
        <v>1705</v>
      </c>
      <c r="F12" s="1353" t="s">
        <v>1709</v>
      </c>
      <c r="G12" s="1353"/>
      <c r="H12" s="1353" t="s">
        <v>1707</v>
      </c>
      <c r="I12" s="1353" t="s">
        <v>1710</v>
      </c>
      <c r="J12" s="1354" t="s">
        <v>1711</v>
      </c>
    </row>
    <row r="13" spans="2:10" x14ac:dyDescent="0.35">
      <c r="B13" s="1173" t="s">
        <v>863</v>
      </c>
      <c r="C13" s="1173" t="s">
        <v>849</v>
      </c>
      <c r="E13" s="1352" t="s">
        <v>1705</v>
      </c>
      <c r="F13" s="1353" t="s">
        <v>1712</v>
      </c>
      <c r="G13" s="1353"/>
      <c r="H13" s="1353" t="s">
        <v>1707</v>
      </c>
      <c r="I13" s="1353" t="s">
        <v>1713</v>
      </c>
      <c r="J13" s="1354" t="s">
        <v>996</v>
      </c>
    </row>
    <row r="14" spans="2:10" x14ac:dyDescent="0.35">
      <c r="B14" s="1172" t="s">
        <v>893</v>
      </c>
      <c r="C14" s="1173" t="s">
        <v>849</v>
      </c>
      <c r="E14" s="1352" t="s">
        <v>1705</v>
      </c>
      <c r="F14" s="1353" t="s">
        <v>1714</v>
      </c>
      <c r="G14" s="1353"/>
      <c r="H14" s="1353" t="s">
        <v>1707</v>
      </c>
      <c r="I14" s="1353" t="s">
        <v>1715</v>
      </c>
      <c r="J14" s="1354" t="s">
        <v>1716</v>
      </c>
    </row>
    <row r="15" spans="2:10" x14ac:dyDescent="0.35">
      <c r="B15" s="1173" t="s">
        <v>889</v>
      </c>
      <c r="C15" s="1173" t="s">
        <v>849</v>
      </c>
      <c r="E15" s="1352" t="s">
        <v>1705</v>
      </c>
      <c r="F15" s="1353" t="s">
        <v>1717</v>
      </c>
      <c r="G15" s="1353"/>
      <c r="H15" s="1353" t="s">
        <v>1707</v>
      </c>
      <c r="I15" s="1353" t="s">
        <v>1718</v>
      </c>
      <c r="J15" s="1354" t="s">
        <v>1719</v>
      </c>
    </row>
    <row r="16" spans="2:10" x14ac:dyDescent="0.35">
      <c r="B16" s="1173" t="s">
        <v>1720</v>
      </c>
      <c r="C16" s="1173" t="s">
        <v>849</v>
      </c>
      <c r="E16" s="1352" t="s">
        <v>1705</v>
      </c>
      <c r="F16" s="1353" t="s">
        <v>1721</v>
      </c>
      <c r="G16" s="1353"/>
      <c r="H16" s="1353" t="s">
        <v>1707</v>
      </c>
      <c r="I16" s="1353" t="s">
        <v>1722</v>
      </c>
      <c r="J16" s="1354" t="s">
        <v>1723</v>
      </c>
    </row>
    <row r="17" spans="2:10" x14ac:dyDescent="0.35">
      <c r="B17" s="1173" t="s">
        <v>1724</v>
      </c>
      <c r="C17" s="1173" t="s">
        <v>849</v>
      </c>
      <c r="E17" s="1352" t="s">
        <v>1705</v>
      </c>
      <c r="F17" s="1353" t="s">
        <v>1725</v>
      </c>
      <c r="G17" s="1353"/>
      <c r="H17" s="1353" t="s">
        <v>1707</v>
      </c>
      <c r="I17" s="1353" t="s">
        <v>1726</v>
      </c>
      <c r="J17" s="1354" t="s">
        <v>1727</v>
      </c>
    </row>
    <row r="18" spans="2:10" x14ac:dyDescent="0.35">
      <c r="B18" s="1173" t="s">
        <v>1728</v>
      </c>
      <c r="C18" s="1173" t="s">
        <v>849</v>
      </c>
      <c r="E18" s="1352" t="s">
        <v>1705</v>
      </c>
      <c r="F18" s="1353" t="s">
        <v>1729</v>
      </c>
      <c r="G18" s="1353"/>
      <c r="H18" s="1353" t="s">
        <v>1707</v>
      </c>
      <c r="I18" s="1353" t="s">
        <v>1730</v>
      </c>
      <c r="J18" s="1354" t="s">
        <v>1731</v>
      </c>
    </row>
    <row r="19" spans="2:10" x14ac:dyDescent="0.35">
      <c r="B19" s="1172" t="s">
        <v>1148</v>
      </c>
      <c r="C19" s="1173" t="s">
        <v>849</v>
      </c>
      <c r="E19" s="1352" t="s">
        <v>1705</v>
      </c>
      <c r="F19" s="1353" t="s">
        <v>1732</v>
      </c>
      <c r="G19" s="1353"/>
      <c r="H19" s="1353" t="s">
        <v>1707</v>
      </c>
      <c r="I19" s="1353" t="s">
        <v>1733</v>
      </c>
      <c r="J19" s="1354" t="s">
        <v>1734</v>
      </c>
    </row>
    <row r="20" spans="2:10" x14ac:dyDescent="0.35">
      <c r="B20" s="1173" t="s">
        <v>1735</v>
      </c>
      <c r="C20" s="1173" t="s">
        <v>849</v>
      </c>
      <c r="E20" s="1352" t="s">
        <v>1705</v>
      </c>
      <c r="F20" s="1353" t="s">
        <v>1736</v>
      </c>
      <c r="G20" s="1353"/>
      <c r="H20" s="1353" t="s">
        <v>1707</v>
      </c>
      <c r="I20" s="1353" t="s">
        <v>1737</v>
      </c>
      <c r="J20" s="1354" t="s">
        <v>1738</v>
      </c>
    </row>
    <row r="21" spans="2:10" x14ac:dyDescent="0.35">
      <c r="B21" s="1172" t="s">
        <v>1059</v>
      </c>
      <c r="C21" s="1173" t="s">
        <v>849</v>
      </c>
      <c r="E21" s="1352" t="s">
        <v>1705</v>
      </c>
      <c r="F21" s="1353" t="s">
        <v>1739</v>
      </c>
      <c r="G21" s="1353"/>
      <c r="H21" s="1353" t="s">
        <v>1707</v>
      </c>
      <c r="I21" s="1353" t="s">
        <v>1740</v>
      </c>
      <c r="J21" s="1354" t="s">
        <v>1741</v>
      </c>
    </row>
    <row r="22" spans="2:10" x14ac:dyDescent="0.35">
      <c r="B22" s="1173" t="s">
        <v>875</v>
      </c>
      <c r="C22" s="1173" t="s">
        <v>876</v>
      </c>
      <c r="E22" s="1352" t="s">
        <v>1705</v>
      </c>
      <c r="F22" s="1353" t="s">
        <v>1742</v>
      </c>
      <c r="G22" s="1353"/>
      <c r="H22" s="1353" t="s">
        <v>1707</v>
      </c>
      <c r="I22" s="1353" t="s">
        <v>1743</v>
      </c>
      <c r="J22" s="1354" t="s">
        <v>1744</v>
      </c>
    </row>
    <row r="23" spans="2:10" x14ac:dyDescent="0.35">
      <c r="B23" s="1172" t="s">
        <v>1745</v>
      </c>
      <c r="C23" s="1172" t="s">
        <v>876</v>
      </c>
      <c r="E23" s="1352" t="s">
        <v>1705</v>
      </c>
      <c r="F23" s="1353" t="s">
        <v>1746</v>
      </c>
      <c r="G23" s="1353"/>
      <c r="H23" s="1353" t="s">
        <v>1707</v>
      </c>
      <c r="I23" s="1353" t="s">
        <v>1747</v>
      </c>
      <c r="J23" s="1354" t="s">
        <v>1748</v>
      </c>
    </row>
    <row r="24" spans="2:10" ht="28" x14ac:dyDescent="0.35">
      <c r="B24" s="1172" t="s">
        <v>1749</v>
      </c>
      <c r="C24" s="1172" t="s">
        <v>876</v>
      </c>
      <c r="E24" s="1352" t="s">
        <v>1705</v>
      </c>
      <c r="F24" s="1353" t="s">
        <v>1750</v>
      </c>
      <c r="G24" s="1353"/>
      <c r="H24" s="1353" t="s">
        <v>1707</v>
      </c>
      <c r="I24" s="1353" t="s">
        <v>1751</v>
      </c>
      <c r="J24" s="1354" t="s">
        <v>1752</v>
      </c>
    </row>
    <row r="25" spans="2:10" ht="28" x14ac:dyDescent="0.35">
      <c r="B25" s="1172" t="s">
        <v>1753</v>
      </c>
      <c r="C25" s="1172" t="s">
        <v>876</v>
      </c>
      <c r="E25" s="1352" t="s">
        <v>1705</v>
      </c>
      <c r="F25" s="1353" t="s">
        <v>1754</v>
      </c>
      <c r="G25" s="1353"/>
      <c r="H25" s="1353" t="s">
        <v>1707</v>
      </c>
      <c r="I25" s="1353" t="s">
        <v>1755</v>
      </c>
      <c r="J25" s="1354" t="s">
        <v>1756</v>
      </c>
    </row>
    <row r="26" spans="2:10" x14ac:dyDescent="0.35">
      <c r="B26" s="1172" t="s">
        <v>1255</v>
      </c>
      <c r="C26" s="1172" t="s">
        <v>1214</v>
      </c>
      <c r="E26" s="1352" t="s">
        <v>1705</v>
      </c>
      <c r="F26" s="1353" t="s">
        <v>1757</v>
      </c>
      <c r="G26" s="1353"/>
      <c r="H26" s="1353" t="s">
        <v>1707</v>
      </c>
      <c r="I26" s="1353" t="s">
        <v>1758</v>
      </c>
      <c r="J26" s="1354" t="s">
        <v>1759</v>
      </c>
    </row>
    <row r="27" spans="2:10" ht="28" x14ac:dyDescent="0.35">
      <c r="B27" s="1172" t="s">
        <v>1213</v>
      </c>
      <c r="C27" s="1172" t="s">
        <v>1214</v>
      </c>
      <c r="E27" s="1352" t="s">
        <v>1705</v>
      </c>
      <c r="F27" s="1353" t="s">
        <v>1760</v>
      </c>
      <c r="G27" s="1353"/>
      <c r="H27" s="1353" t="s">
        <v>1707</v>
      </c>
      <c r="I27" s="1353" t="s">
        <v>1761</v>
      </c>
      <c r="J27" s="1354" t="s">
        <v>1762</v>
      </c>
    </row>
    <row r="28" spans="2:10" x14ac:dyDescent="0.35">
      <c r="B28" s="1172" t="s">
        <v>1763</v>
      </c>
      <c r="C28" s="1172" t="s">
        <v>1214</v>
      </c>
      <c r="E28" s="1352" t="s">
        <v>1705</v>
      </c>
      <c r="F28" s="1353" t="s">
        <v>1764</v>
      </c>
      <c r="G28" s="1353"/>
      <c r="H28" s="1353" t="s">
        <v>1707</v>
      </c>
      <c r="I28" s="1353" t="s">
        <v>1765</v>
      </c>
      <c r="J28" s="1354" t="s">
        <v>1766</v>
      </c>
    </row>
    <row r="29" spans="2:10" ht="28" x14ac:dyDescent="0.35">
      <c r="B29" s="1172" t="s">
        <v>1263</v>
      </c>
      <c r="C29" s="1172" t="s">
        <v>1214</v>
      </c>
      <c r="E29" s="1352" t="s">
        <v>1705</v>
      </c>
      <c r="F29" s="1353" t="s">
        <v>1767</v>
      </c>
      <c r="G29" s="1353"/>
      <c r="H29" s="1353" t="s">
        <v>1707</v>
      </c>
      <c r="I29" s="1353" t="s">
        <v>1768</v>
      </c>
      <c r="J29" s="1354" t="s">
        <v>1018</v>
      </c>
    </row>
    <row r="30" spans="2:10" x14ac:dyDescent="0.35">
      <c r="B30" s="1172" t="s">
        <v>1266</v>
      </c>
      <c r="C30" s="1172" t="s">
        <v>1214</v>
      </c>
      <c r="E30" s="1352" t="s">
        <v>1705</v>
      </c>
      <c r="F30" s="1353" t="s">
        <v>1769</v>
      </c>
      <c r="G30" s="1353"/>
      <c r="H30" s="1353" t="s">
        <v>1707</v>
      </c>
      <c r="I30" s="1353" t="s">
        <v>1770</v>
      </c>
      <c r="J30" s="1354" t="s">
        <v>946</v>
      </c>
    </row>
    <row r="31" spans="2:10" x14ac:dyDescent="0.35">
      <c r="B31" s="1172" t="s">
        <v>1771</v>
      </c>
      <c r="C31" s="1172" t="s">
        <v>1214</v>
      </c>
      <c r="E31" s="1352" t="s">
        <v>1705</v>
      </c>
      <c r="F31" s="1353" t="s">
        <v>1772</v>
      </c>
      <c r="G31" s="1353"/>
      <c r="H31" s="1353" t="s">
        <v>1707</v>
      </c>
      <c r="I31" s="1353" t="s">
        <v>1773</v>
      </c>
      <c r="J31" s="1354" t="s">
        <v>1774</v>
      </c>
    </row>
    <row r="32" spans="2:10" x14ac:dyDescent="0.35">
      <c r="B32" s="1172" t="s">
        <v>1775</v>
      </c>
      <c r="C32" s="1172" t="s">
        <v>1214</v>
      </c>
      <c r="E32" s="1352" t="s">
        <v>1705</v>
      </c>
      <c r="F32" s="1353" t="s">
        <v>1776</v>
      </c>
      <c r="G32" s="1353"/>
      <c r="H32" s="1353" t="s">
        <v>1707</v>
      </c>
      <c r="I32" s="1353" t="s">
        <v>1777</v>
      </c>
      <c r="J32" s="1354" t="s">
        <v>1778</v>
      </c>
    </row>
    <row r="33" spans="2:10" x14ac:dyDescent="0.35">
      <c r="B33" s="1172" t="s">
        <v>1779</v>
      </c>
      <c r="C33" s="1172" t="s">
        <v>1088</v>
      </c>
      <c r="E33" s="1352" t="s">
        <v>1705</v>
      </c>
      <c r="F33" s="1353" t="s">
        <v>1780</v>
      </c>
      <c r="G33" s="1353"/>
      <c r="H33" s="1353" t="s">
        <v>1707</v>
      </c>
      <c r="I33" s="1353" t="s">
        <v>1781</v>
      </c>
      <c r="J33" s="1354" t="s">
        <v>1782</v>
      </c>
    </row>
    <row r="34" spans="2:10" x14ac:dyDescent="0.35">
      <c r="B34" s="1172" t="s">
        <v>1277</v>
      </c>
      <c r="C34" s="1172" t="s">
        <v>1088</v>
      </c>
      <c r="E34" s="1352" t="s">
        <v>1705</v>
      </c>
      <c r="F34" s="1353" t="s">
        <v>1783</v>
      </c>
      <c r="G34" s="1353"/>
      <c r="H34" s="1353" t="s">
        <v>1707</v>
      </c>
      <c r="I34" s="1353" t="s">
        <v>1784</v>
      </c>
      <c r="J34" s="1354" t="s">
        <v>1785</v>
      </c>
    </row>
    <row r="35" spans="2:10" x14ac:dyDescent="0.35">
      <c r="B35" s="1172" t="s">
        <v>1786</v>
      </c>
      <c r="C35" s="1172" t="s">
        <v>1088</v>
      </c>
      <c r="E35" s="1352" t="s">
        <v>1705</v>
      </c>
      <c r="F35" s="1353" t="s">
        <v>1787</v>
      </c>
      <c r="G35" s="1353"/>
      <c r="H35" s="1353" t="s">
        <v>1707</v>
      </c>
      <c r="I35" s="1353" t="s">
        <v>1788</v>
      </c>
      <c r="J35" s="1354" t="s">
        <v>1789</v>
      </c>
    </row>
    <row r="36" spans="2:10" x14ac:dyDescent="0.35">
      <c r="B36" s="1172" t="s">
        <v>1790</v>
      </c>
      <c r="C36" s="1172" t="s">
        <v>1088</v>
      </c>
      <c r="E36" s="1352" t="s">
        <v>1705</v>
      </c>
      <c r="F36" s="1353" t="s">
        <v>1791</v>
      </c>
      <c r="G36" s="1353"/>
      <c r="H36" s="1353" t="s">
        <v>1707</v>
      </c>
      <c r="I36" s="1353" t="s">
        <v>1792</v>
      </c>
      <c r="J36" s="1354" t="s">
        <v>1793</v>
      </c>
    </row>
    <row r="37" spans="2:10" x14ac:dyDescent="0.35">
      <c r="B37" s="1172" t="s">
        <v>1250</v>
      </c>
      <c r="C37" s="1172" t="s">
        <v>1088</v>
      </c>
      <c r="E37" s="1352" t="s">
        <v>1705</v>
      </c>
      <c r="F37" s="1353" t="s">
        <v>1794</v>
      </c>
      <c r="G37" s="1353"/>
      <c r="H37" s="1353" t="s">
        <v>1707</v>
      </c>
      <c r="I37" s="1353" t="s">
        <v>1795</v>
      </c>
      <c r="J37" s="1354" t="s">
        <v>208</v>
      </c>
    </row>
    <row r="38" spans="2:10" x14ac:dyDescent="0.35">
      <c r="B38" s="1172" t="s">
        <v>1796</v>
      </c>
      <c r="C38" s="1172" t="s">
        <v>1088</v>
      </c>
      <c r="E38" s="1352" t="s">
        <v>1797</v>
      </c>
      <c r="F38" s="1353" t="s">
        <v>1798</v>
      </c>
      <c r="G38" s="1353">
        <v>97</v>
      </c>
      <c r="H38" s="1353" t="s">
        <v>1799</v>
      </c>
      <c r="I38" s="1353" t="s">
        <v>1800</v>
      </c>
      <c r="J38" s="1354" t="s">
        <v>1801</v>
      </c>
    </row>
    <row r="39" spans="2:10" x14ac:dyDescent="0.35">
      <c r="B39" s="1172" t="s">
        <v>1802</v>
      </c>
      <c r="C39" s="1172" t="s">
        <v>1088</v>
      </c>
      <c r="E39" s="1352" t="s">
        <v>15</v>
      </c>
      <c r="F39" s="1353" t="s">
        <v>1803</v>
      </c>
      <c r="G39" s="1353">
        <v>54</v>
      </c>
      <c r="H39" s="1353" t="s">
        <v>1804</v>
      </c>
      <c r="I39" s="1353" t="s">
        <v>1804</v>
      </c>
      <c r="J39" s="1354" t="s">
        <v>85</v>
      </c>
    </row>
    <row r="40" spans="2:10" x14ac:dyDescent="0.35">
      <c r="B40" s="1172" t="s">
        <v>1805</v>
      </c>
      <c r="C40" s="1172" t="s">
        <v>1088</v>
      </c>
      <c r="E40" s="1352" t="s">
        <v>1806</v>
      </c>
      <c r="F40" s="1353" t="s">
        <v>1807</v>
      </c>
      <c r="G40" s="1353">
        <v>203</v>
      </c>
      <c r="H40" s="1353" t="s">
        <v>1808</v>
      </c>
      <c r="I40" s="1353" t="s">
        <v>1809</v>
      </c>
      <c r="J40" s="1354" t="s">
        <v>1810</v>
      </c>
    </row>
    <row r="41" spans="2:10" x14ac:dyDescent="0.35">
      <c r="B41" s="1172" t="s">
        <v>1274</v>
      </c>
      <c r="C41" s="1172" t="s">
        <v>1088</v>
      </c>
      <c r="E41" s="1352" t="s">
        <v>1806</v>
      </c>
      <c r="F41" s="1353" t="s">
        <v>1811</v>
      </c>
      <c r="G41" s="1353">
        <v>209</v>
      </c>
      <c r="H41" s="1353" t="s">
        <v>1808</v>
      </c>
      <c r="I41" s="1353" t="s">
        <v>1812</v>
      </c>
      <c r="J41" s="1354" t="s">
        <v>1813</v>
      </c>
    </row>
    <row r="42" spans="2:10" x14ac:dyDescent="0.35">
      <c r="B42" s="1172" t="s">
        <v>1087</v>
      </c>
      <c r="C42" s="1172" t="s">
        <v>1088</v>
      </c>
      <c r="E42" s="1352" t="s">
        <v>1806</v>
      </c>
      <c r="F42" s="1353" t="s">
        <v>1814</v>
      </c>
      <c r="G42" s="1353">
        <v>208</v>
      </c>
      <c r="H42" s="1353" t="s">
        <v>1808</v>
      </c>
      <c r="I42" s="1353" t="s">
        <v>1815</v>
      </c>
      <c r="J42" s="1354" t="s">
        <v>1816</v>
      </c>
    </row>
    <row r="43" spans="2:10" ht="28" x14ac:dyDescent="0.35">
      <c r="B43" s="1172" t="s">
        <v>1817</v>
      </c>
      <c r="C43" s="1172" t="s">
        <v>1088</v>
      </c>
      <c r="E43" s="1352" t="s">
        <v>1806</v>
      </c>
      <c r="F43" s="1353" t="s">
        <v>1818</v>
      </c>
      <c r="G43" s="1353">
        <v>221</v>
      </c>
      <c r="H43" s="1353" t="s">
        <v>1808</v>
      </c>
      <c r="I43" s="1353" t="s">
        <v>1819</v>
      </c>
      <c r="J43" s="1354" t="s">
        <v>1820</v>
      </c>
    </row>
    <row r="44" spans="2:10" x14ac:dyDescent="0.35">
      <c r="B44" s="1172" t="s">
        <v>1260</v>
      </c>
      <c r="C44" s="1172" t="s">
        <v>1088</v>
      </c>
      <c r="E44" s="1352" t="s">
        <v>1806</v>
      </c>
      <c r="F44" s="1353" t="s">
        <v>1821</v>
      </c>
      <c r="G44" s="1353">
        <v>204</v>
      </c>
      <c r="H44" s="1353" t="s">
        <v>1808</v>
      </c>
      <c r="I44" s="1353" t="s">
        <v>1822</v>
      </c>
      <c r="J44" s="1354" t="s">
        <v>1823</v>
      </c>
    </row>
    <row r="45" spans="2:10" x14ac:dyDescent="0.35">
      <c r="B45" s="1172" t="s">
        <v>1282</v>
      </c>
      <c r="C45" s="1172" t="s">
        <v>1088</v>
      </c>
      <c r="E45" s="1352" t="s">
        <v>1806</v>
      </c>
      <c r="F45" s="1353" t="s">
        <v>1824</v>
      </c>
      <c r="G45" s="1353">
        <v>205</v>
      </c>
      <c r="H45" s="1353" t="s">
        <v>1808</v>
      </c>
      <c r="I45" s="1353" t="s">
        <v>1825</v>
      </c>
      <c r="J45" s="1354" t="s">
        <v>1826</v>
      </c>
    </row>
    <row r="46" spans="2:10" ht="28" x14ac:dyDescent="0.35">
      <c r="B46" s="1172" t="s">
        <v>1827</v>
      </c>
      <c r="C46" s="1172" t="s">
        <v>1088</v>
      </c>
      <c r="E46" s="1352" t="s">
        <v>1806</v>
      </c>
      <c r="F46" s="1353" t="s">
        <v>1828</v>
      </c>
      <c r="G46" s="1353">
        <v>215</v>
      </c>
      <c r="H46" s="1353" t="s">
        <v>1808</v>
      </c>
      <c r="I46" s="1353" t="s">
        <v>1829</v>
      </c>
      <c r="J46" s="1354" t="s">
        <v>1830</v>
      </c>
    </row>
    <row r="47" spans="2:10" x14ac:dyDescent="0.35">
      <c r="B47" s="1172" t="s">
        <v>1831</v>
      </c>
      <c r="C47" s="1172" t="s">
        <v>1088</v>
      </c>
      <c r="E47" s="1352" t="s">
        <v>1806</v>
      </c>
      <c r="F47" s="1353" t="s">
        <v>1832</v>
      </c>
      <c r="G47" s="1353">
        <v>210</v>
      </c>
      <c r="H47" s="1353" t="s">
        <v>1808</v>
      </c>
      <c r="I47" s="1353" t="s">
        <v>1833</v>
      </c>
      <c r="J47" s="1354" t="s">
        <v>1834</v>
      </c>
    </row>
    <row r="48" spans="2:10" x14ac:dyDescent="0.35">
      <c r="E48" s="1352" t="s">
        <v>1806</v>
      </c>
      <c r="F48" s="1353" t="s">
        <v>1835</v>
      </c>
      <c r="G48" s="1353">
        <v>217</v>
      </c>
      <c r="H48" s="1353" t="s">
        <v>1808</v>
      </c>
      <c r="I48" s="1353" t="s">
        <v>1836</v>
      </c>
      <c r="J48" s="1354" t="s">
        <v>1837</v>
      </c>
    </row>
    <row r="49" spans="5:10" x14ac:dyDescent="0.35">
      <c r="E49" s="1352" t="s">
        <v>1806</v>
      </c>
      <c r="F49" s="1353" t="s">
        <v>1838</v>
      </c>
      <c r="G49" s="1353">
        <v>207</v>
      </c>
      <c r="H49" s="1353" t="s">
        <v>1808</v>
      </c>
      <c r="I49" s="1353" t="s">
        <v>1839</v>
      </c>
      <c r="J49" s="1354" t="s">
        <v>1840</v>
      </c>
    </row>
    <row r="50" spans="5:10" x14ac:dyDescent="0.35">
      <c r="E50" s="1352" t="s">
        <v>1806</v>
      </c>
      <c r="F50" s="1353" t="s">
        <v>1841</v>
      </c>
      <c r="G50" s="1353">
        <v>220</v>
      </c>
      <c r="H50" s="1353" t="s">
        <v>1808</v>
      </c>
      <c r="I50" s="1353" t="s">
        <v>1842</v>
      </c>
      <c r="J50" s="1354" t="s">
        <v>1843</v>
      </c>
    </row>
    <row r="51" spans="5:10" x14ac:dyDescent="0.35">
      <c r="E51" s="1352" t="s">
        <v>1806</v>
      </c>
      <c r="F51" s="1353" t="s">
        <v>1844</v>
      </c>
      <c r="G51" s="1353">
        <v>214</v>
      </c>
      <c r="H51" s="1353" t="s">
        <v>1808</v>
      </c>
      <c r="I51" s="1353" t="s">
        <v>1845</v>
      </c>
      <c r="J51" s="1354" t="s">
        <v>1846</v>
      </c>
    </row>
    <row r="52" spans="5:10" x14ac:dyDescent="0.35">
      <c r="E52" s="1352" t="s">
        <v>1806</v>
      </c>
      <c r="F52" s="1353" t="s">
        <v>1847</v>
      </c>
      <c r="G52" s="1353">
        <v>226</v>
      </c>
      <c r="H52" s="1353" t="s">
        <v>1808</v>
      </c>
      <c r="I52" s="1353" t="s">
        <v>1848</v>
      </c>
      <c r="J52" s="1354" t="s">
        <v>1849</v>
      </c>
    </row>
    <row r="53" spans="5:10" x14ac:dyDescent="0.35">
      <c r="E53" s="1352" t="s">
        <v>1806</v>
      </c>
      <c r="F53" s="1353" t="s">
        <v>1850</v>
      </c>
      <c r="G53" s="1353">
        <v>213</v>
      </c>
      <c r="H53" s="1353" t="s">
        <v>1808</v>
      </c>
      <c r="I53" s="1353" t="s">
        <v>1851</v>
      </c>
      <c r="J53" s="1354" t="s">
        <v>1852</v>
      </c>
    </row>
    <row r="54" spans="5:10" x14ac:dyDescent="0.35">
      <c r="E54" s="1352" t="s">
        <v>1806</v>
      </c>
      <c r="F54" s="1353" t="s">
        <v>1853</v>
      </c>
      <c r="G54" s="1353">
        <v>206</v>
      </c>
      <c r="H54" s="1353" t="s">
        <v>1808</v>
      </c>
      <c r="I54" s="1353" t="s">
        <v>1854</v>
      </c>
      <c r="J54" s="1354" t="s">
        <v>1855</v>
      </c>
    </row>
    <row r="55" spans="5:10" x14ac:dyDescent="0.35">
      <c r="E55" s="1352" t="s">
        <v>1806</v>
      </c>
      <c r="F55" s="1353" t="s">
        <v>1856</v>
      </c>
      <c r="G55" s="1353">
        <v>223</v>
      </c>
      <c r="H55" s="1353" t="s">
        <v>1808</v>
      </c>
      <c r="I55" s="1353" t="s">
        <v>1857</v>
      </c>
      <c r="J55" s="1354" t="s">
        <v>1858</v>
      </c>
    </row>
    <row r="56" spans="5:10" x14ac:dyDescent="0.35">
      <c r="E56" s="1352" t="s">
        <v>1806</v>
      </c>
      <c r="F56" s="1353" t="s">
        <v>1859</v>
      </c>
      <c r="G56" s="1353">
        <v>216</v>
      </c>
      <c r="H56" s="1353" t="s">
        <v>1808</v>
      </c>
      <c r="I56" s="1353" t="s">
        <v>1860</v>
      </c>
      <c r="J56" s="1354" t="s">
        <v>1861</v>
      </c>
    </row>
    <row r="57" spans="5:10" x14ac:dyDescent="0.35">
      <c r="E57" s="1352" t="s">
        <v>1806</v>
      </c>
      <c r="F57" s="1353" t="s">
        <v>1862</v>
      </c>
      <c r="G57" s="1353">
        <v>225</v>
      </c>
      <c r="H57" s="1353" t="s">
        <v>1808</v>
      </c>
      <c r="I57" s="1353" t="s">
        <v>1863</v>
      </c>
      <c r="J57" s="1354" t="s">
        <v>1864</v>
      </c>
    </row>
    <row r="58" spans="5:10" x14ac:dyDescent="0.35">
      <c r="E58" s="1352" t="s">
        <v>1806</v>
      </c>
      <c r="F58" s="1353" t="s">
        <v>1865</v>
      </c>
      <c r="G58" s="1353">
        <v>224</v>
      </c>
      <c r="H58" s="1353" t="s">
        <v>1808</v>
      </c>
      <c r="I58" s="1353" t="s">
        <v>1866</v>
      </c>
      <c r="J58" s="1354" t="s">
        <v>1867</v>
      </c>
    </row>
    <row r="59" spans="5:10" x14ac:dyDescent="0.35">
      <c r="E59" s="1352" t="s">
        <v>1806</v>
      </c>
      <c r="F59" s="1353" t="s">
        <v>1868</v>
      </c>
      <c r="G59" s="1353">
        <v>211</v>
      </c>
      <c r="H59" s="1353" t="s">
        <v>1808</v>
      </c>
      <c r="I59" s="1353" t="s">
        <v>1869</v>
      </c>
      <c r="J59" s="1354" t="s">
        <v>1870</v>
      </c>
    </row>
    <row r="60" spans="5:10" x14ac:dyDescent="0.35">
      <c r="E60" s="1352" t="s">
        <v>1806</v>
      </c>
      <c r="F60" s="1353" t="s">
        <v>1871</v>
      </c>
      <c r="G60" s="1353">
        <v>222</v>
      </c>
      <c r="H60" s="1353" t="s">
        <v>1808</v>
      </c>
      <c r="I60" s="1353" t="s">
        <v>1872</v>
      </c>
      <c r="J60" s="1354" t="s">
        <v>1873</v>
      </c>
    </row>
    <row r="61" spans="5:10" x14ac:dyDescent="0.35">
      <c r="E61" s="1352" t="s">
        <v>1806</v>
      </c>
      <c r="F61" s="1353" t="s">
        <v>1874</v>
      </c>
      <c r="G61" s="1353">
        <v>212</v>
      </c>
      <c r="H61" s="1353" t="s">
        <v>1808</v>
      </c>
      <c r="I61" s="1353" t="s">
        <v>1875</v>
      </c>
      <c r="J61" s="1354" t="s">
        <v>1876</v>
      </c>
    </row>
    <row r="62" spans="5:10" x14ac:dyDescent="0.35">
      <c r="E62" s="1352" t="s">
        <v>1806</v>
      </c>
      <c r="F62" s="1353" t="s">
        <v>1877</v>
      </c>
      <c r="G62" s="1353">
        <v>219</v>
      </c>
      <c r="H62" s="1353" t="s">
        <v>1808</v>
      </c>
      <c r="I62" s="1353" t="s">
        <v>1878</v>
      </c>
      <c r="J62" s="1354" t="s">
        <v>1879</v>
      </c>
    </row>
    <row r="63" spans="5:10" x14ac:dyDescent="0.35">
      <c r="E63" s="1352" t="s">
        <v>1806</v>
      </c>
      <c r="F63" s="1353" t="s">
        <v>1880</v>
      </c>
      <c r="G63" s="1353">
        <v>218</v>
      </c>
      <c r="H63" s="1353" t="s">
        <v>1808</v>
      </c>
      <c r="I63" s="1353" t="s">
        <v>1881</v>
      </c>
      <c r="J63" s="1354" t="s">
        <v>1882</v>
      </c>
    </row>
    <row r="64" spans="5:10" x14ac:dyDescent="0.35">
      <c r="E64" s="1352" t="s">
        <v>1883</v>
      </c>
      <c r="F64" s="1353" t="s">
        <v>1884</v>
      </c>
      <c r="G64" s="1353">
        <v>56</v>
      </c>
      <c r="H64" s="1353" t="s">
        <v>1885</v>
      </c>
      <c r="I64" s="1353" t="s">
        <v>1886</v>
      </c>
      <c r="J64" s="1354" t="s">
        <v>1887</v>
      </c>
    </row>
    <row r="65" spans="5:10" x14ac:dyDescent="0.35">
      <c r="E65" s="1352" t="s">
        <v>1883</v>
      </c>
      <c r="F65" s="1353" t="s">
        <v>1888</v>
      </c>
      <c r="G65" s="1353">
        <v>58</v>
      </c>
      <c r="H65" s="1353" t="s">
        <v>1885</v>
      </c>
      <c r="I65" s="1353" t="s">
        <v>1889</v>
      </c>
      <c r="J65" s="1354" t="s">
        <v>957</v>
      </c>
    </row>
    <row r="66" spans="5:10" x14ac:dyDescent="0.35">
      <c r="E66" s="1352" t="s">
        <v>1883</v>
      </c>
      <c r="F66" s="1353" t="s">
        <v>1890</v>
      </c>
      <c r="G66" s="1353">
        <v>57</v>
      </c>
      <c r="H66" s="1353" t="s">
        <v>1885</v>
      </c>
      <c r="I66" s="1353" t="s">
        <v>1891</v>
      </c>
      <c r="J66" s="1354" t="s">
        <v>1892</v>
      </c>
    </row>
    <row r="67" spans="5:10" x14ac:dyDescent="0.35">
      <c r="E67" s="1352" t="s">
        <v>1883</v>
      </c>
      <c r="F67" s="1353" t="s">
        <v>1893</v>
      </c>
      <c r="G67" s="1353">
        <v>55</v>
      </c>
      <c r="H67" s="1353" t="s">
        <v>1885</v>
      </c>
      <c r="I67" s="1353" t="s">
        <v>1894</v>
      </c>
      <c r="J67" s="1354" t="s">
        <v>1895</v>
      </c>
    </row>
    <row r="68" spans="5:10" x14ac:dyDescent="0.35">
      <c r="E68" s="1352" t="s">
        <v>1896</v>
      </c>
      <c r="F68" s="1353" t="s">
        <v>1897</v>
      </c>
      <c r="G68" s="1353">
        <v>50</v>
      </c>
      <c r="H68" s="1353" t="s">
        <v>1898</v>
      </c>
      <c r="I68" s="1353" t="s">
        <v>1899</v>
      </c>
      <c r="J68" s="1354" t="s">
        <v>1900</v>
      </c>
    </row>
    <row r="69" spans="5:10" x14ac:dyDescent="0.35">
      <c r="E69" s="1352" t="s">
        <v>1896</v>
      </c>
      <c r="F69" s="1353" t="s">
        <v>1901</v>
      </c>
      <c r="G69" s="1353"/>
      <c r="H69" s="1353" t="s">
        <v>1898</v>
      </c>
      <c r="I69" s="1353" t="s">
        <v>1902</v>
      </c>
      <c r="J69" s="1354" t="s">
        <v>1903</v>
      </c>
    </row>
    <row r="70" spans="5:10" x14ac:dyDescent="0.35">
      <c r="E70" s="1352" t="s">
        <v>1896</v>
      </c>
      <c r="F70" s="1353" t="s">
        <v>1904</v>
      </c>
      <c r="G70" s="1353"/>
      <c r="H70" s="1353" t="s">
        <v>1898</v>
      </c>
      <c r="I70" s="1353" t="s">
        <v>1905</v>
      </c>
      <c r="J70" s="1354" t="s">
        <v>1906</v>
      </c>
    </row>
    <row r="71" spans="5:10" x14ac:dyDescent="0.35">
      <c r="E71" s="1352" t="s">
        <v>1896</v>
      </c>
      <c r="F71" s="1353" t="s">
        <v>1907</v>
      </c>
      <c r="G71" s="1353">
        <v>202</v>
      </c>
      <c r="H71" s="1353" t="s">
        <v>1898</v>
      </c>
      <c r="I71" s="1353" t="s">
        <v>1908</v>
      </c>
      <c r="J71" s="1354" t="s">
        <v>1909</v>
      </c>
    </row>
    <row r="72" spans="5:10" x14ac:dyDescent="0.35">
      <c r="E72" s="1352" t="s">
        <v>1910</v>
      </c>
      <c r="F72" s="1353" t="s">
        <v>1911</v>
      </c>
      <c r="G72" s="1353">
        <v>1</v>
      </c>
      <c r="H72" s="1353" t="s">
        <v>1912</v>
      </c>
      <c r="I72" s="1353" t="s">
        <v>1913</v>
      </c>
      <c r="J72" s="1354" t="s">
        <v>1914</v>
      </c>
    </row>
    <row r="73" spans="5:10" x14ac:dyDescent="0.35">
      <c r="E73" s="1352" t="s">
        <v>1910</v>
      </c>
      <c r="F73" s="1353" t="s">
        <v>1915</v>
      </c>
      <c r="G73" s="1353">
        <v>2</v>
      </c>
      <c r="H73" s="1353" t="s">
        <v>1912</v>
      </c>
      <c r="I73" s="1353" t="s">
        <v>1916</v>
      </c>
      <c r="J73" s="1354" t="s">
        <v>1917</v>
      </c>
    </row>
    <row r="74" spans="5:10" x14ac:dyDescent="0.35">
      <c r="E74" s="1352" t="s">
        <v>1918</v>
      </c>
      <c r="F74" s="1353" t="s">
        <v>1919</v>
      </c>
      <c r="G74" s="1353">
        <v>96</v>
      </c>
      <c r="H74" s="1353" t="s">
        <v>1920</v>
      </c>
      <c r="I74" s="1353" t="s">
        <v>1921</v>
      </c>
      <c r="J74" s="1354" t="s">
        <v>1922</v>
      </c>
    </row>
    <row r="75" spans="5:10" x14ac:dyDescent="0.35">
      <c r="E75" s="1352" t="s">
        <v>1923</v>
      </c>
      <c r="F75" s="1353" t="s">
        <v>1923</v>
      </c>
      <c r="G75" s="1353">
        <v>95</v>
      </c>
      <c r="H75" s="1353" t="s">
        <v>1924</v>
      </c>
      <c r="I75" s="1353" t="s">
        <v>1924</v>
      </c>
      <c r="J75" s="1354" t="s">
        <v>1925</v>
      </c>
    </row>
    <row r="76" spans="5:10" x14ac:dyDescent="0.35">
      <c r="E76" s="1352" t="s">
        <v>1926</v>
      </c>
      <c r="F76" s="1353" t="s">
        <v>1927</v>
      </c>
      <c r="G76" s="1353">
        <v>51</v>
      </c>
      <c r="H76" s="1353" t="s">
        <v>1928</v>
      </c>
      <c r="I76" s="1353" t="s">
        <v>1929</v>
      </c>
      <c r="J76" s="1354" t="s">
        <v>1930</v>
      </c>
    </row>
    <row r="77" spans="5:10" x14ac:dyDescent="0.35">
      <c r="E77" s="1352" t="s">
        <v>1926</v>
      </c>
      <c r="F77" s="1353" t="s">
        <v>1931</v>
      </c>
      <c r="G77" s="1353">
        <v>92</v>
      </c>
      <c r="H77" s="1353" t="s">
        <v>1928</v>
      </c>
      <c r="I77" s="1353" t="s">
        <v>1932</v>
      </c>
      <c r="J77" s="1354" t="s">
        <v>1933</v>
      </c>
    </row>
    <row r="78" spans="5:10" x14ac:dyDescent="0.35">
      <c r="E78" s="1352" t="s">
        <v>1926</v>
      </c>
      <c r="F78" s="1353" t="s">
        <v>1934</v>
      </c>
      <c r="G78" s="1353">
        <v>52</v>
      </c>
      <c r="H78" s="1353" t="s">
        <v>1928</v>
      </c>
      <c r="I78" s="1353" t="s">
        <v>1935</v>
      </c>
      <c r="J78" s="1354" t="s">
        <v>1936</v>
      </c>
    </row>
    <row r="79" spans="5:10" x14ac:dyDescent="0.35">
      <c r="E79" s="1352" t="s">
        <v>1926</v>
      </c>
      <c r="F79" s="1353" t="s">
        <v>1937</v>
      </c>
      <c r="G79" s="1353">
        <v>47</v>
      </c>
      <c r="H79" s="1353" t="s">
        <v>1928</v>
      </c>
      <c r="I79" s="1353" t="s">
        <v>1938</v>
      </c>
      <c r="J79" s="1354" t="s">
        <v>1939</v>
      </c>
    </row>
    <row r="80" spans="5:10" x14ac:dyDescent="0.35">
      <c r="E80" s="1352" t="s">
        <v>1926</v>
      </c>
      <c r="F80" s="1353" t="s">
        <v>1940</v>
      </c>
      <c r="G80" s="1353">
        <v>48</v>
      </c>
      <c r="H80" s="1353" t="s">
        <v>1928</v>
      </c>
      <c r="I80" s="1353" t="s">
        <v>1941</v>
      </c>
      <c r="J80" s="1354" t="s">
        <v>1942</v>
      </c>
    </row>
    <row r="81" spans="5:10" x14ac:dyDescent="0.35">
      <c r="E81" s="1352" t="s">
        <v>1926</v>
      </c>
      <c r="F81" s="1353" t="s">
        <v>1943</v>
      </c>
      <c r="G81" s="1353">
        <v>39</v>
      </c>
      <c r="H81" s="1353" t="s">
        <v>1928</v>
      </c>
      <c r="I81" s="1353" t="s">
        <v>1944</v>
      </c>
      <c r="J81" s="1354" t="s">
        <v>1945</v>
      </c>
    </row>
    <row r="82" spans="5:10" x14ac:dyDescent="0.35">
      <c r="E82" s="1352" t="s">
        <v>1926</v>
      </c>
      <c r="F82" s="1353" t="s">
        <v>1946</v>
      </c>
      <c r="G82" s="1353">
        <v>42</v>
      </c>
      <c r="H82" s="1353" t="s">
        <v>1928</v>
      </c>
      <c r="I82" s="1353" t="s">
        <v>1947</v>
      </c>
      <c r="J82" s="1354" t="s">
        <v>1948</v>
      </c>
    </row>
    <row r="83" spans="5:10" x14ac:dyDescent="0.35">
      <c r="E83" s="1352" t="s">
        <v>1926</v>
      </c>
      <c r="F83" s="1353" t="s">
        <v>1949</v>
      </c>
      <c r="G83" s="1353">
        <v>40</v>
      </c>
      <c r="H83" s="1353" t="s">
        <v>1928</v>
      </c>
      <c r="I83" s="1353" t="s">
        <v>1950</v>
      </c>
      <c r="J83" s="1354" t="s">
        <v>1951</v>
      </c>
    </row>
    <row r="84" spans="5:10" x14ac:dyDescent="0.35">
      <c r="E84" s="1352" t="s">
        <v>1926</v>
      </c>
      <c r="F84" s="1353" t="s">
        <v>1952</v>
      </c>
      <c r="G84" s="1353">
        <v>49</v>
      </c>
      <c r="H84" s="1353" t="s">
        <v>1928</v>
      </c>
      <c r="I84" s="1353" t="s">
        <v>1953</v>
      </c>
      <c r="J84" s="1354" t="s">
        <v>1954</v>
      </c>
    </row>
    <row r="85" spans="5:10" x14ac:dyDescent="0.35">
      <c r="E85" s="1352" t="s">
        <v>1926</v>
      </c>
      <c r="F85" s="1353" t="s">
        <v>1955</v>
      </c>
      <c r="G85" s="1353">
        <v>44</v>
      </c>
      <c r="H85" s="1353" t="s">
        <v>1928</v>
      </c>
      <c r="I85" s="1353" t="s">
        <v>1956</v>
      </c>
      <c r="J85" s="1354" t="s">
        <v>1957</v>
      </c>
    </row>
    <row r="86" spans="5:10" x14ac:dyDescent="0.35">
      <c r="E86" s="1352" t="s">
        <v>1926</v>
      </c>
      <c r="F86" s="1353" t="s">
        <v>1958</v>
      </c>
      <c r="G86" s="1353">
        <v>43</v>
      </c>
      <c r="H86" s="1353" t="s">
        <v>1928</v>
      </c>
      <c r="I86" s="1353" t="s">
        <v>1959</v>
      </c>
      <c r="J86" s="1354" t="s">
        <v>1960</v>
      </c>
    </row>
    <row r="87" spans="5:10" x14ac:dyDescent="0.35">
      <c r="E87" s="1352" t="s">
        <v>1926</v>
      </c>
      <c r="F87" s="1353" t="s">
        <v>1961</v>
      </c>
      <c r="G87" s="1353">
        <v>38</v>
      </c>
      <c r="H87" s="1353" t="s">
        <v>1928</v>
      </c>
      <c r="I87" s="1353" t="s">
        <v>1962</v>
      </c>
      <c r="J87" s="1354" t="s">
        <v>1963</v>
      </c>
    </row>
    <row r="88" spans="5:10" x14ac:dyDescent="0.35">
      <c r="E88" s="1352" t="s">
        <v>1926</v>
      </c>
      <c r="F88" s="1353" t="s">
        <v>1964</v>
      </c>
      <c r="G88" s="1353">
        <v>41</v>
      </c>
      <c r="H88" s="1353" t="s">
        <v>1928</v>
      </c>
      <c r="I88" s="1353" t="s">
        <v>1965</v>
      </c>
      <c r="J88" s="1354" t="s">
        <v>1966</v>
      </c>
    </row>
    <row r="89" spans="5:10" x14ac:dyDescent="0.35">
      <c r="E89" s="1352" t="s">
        <v>1926</v>
      </c>
      <c r="F89" s="1353" t="s">
        <v>1967</v>
      </c>
      <c r="G89" s="1353">
        <v>46</v>
      </c>
      <c r="H89" s="1353" t="s">
        <v>1928</v>
      </c>
      <c r="I89" s="1353" t="s">
        <v>1968</v>
      </c>
      <c r="J89" s="1354" t="s">
        <v>1969</v>
      </c>
    </row>
    <row r="90" spans="5:10" x14ac:dyDescent="0.35">
      <c r="E90" s="1352" t="s">
        <v>1926</v>
      </c>
      <c r="F90" s="1353" t="s">
        <v>1970</v>
      </c>
      <c r="G90" s="1353">
        <v>45</v>
      </c>
      <c r="H90" s="1353" t="s">
        <v>1928</v>
      </c>
      <c r="I90" s="1353" t="s">
        <v>1971</v>
      </c>
      <c r="J90" s="1354" t="s">
        <v>1972</v>
      </c>
    </row>
    <row r="91" spans="5:10" x14ac:dyDescent="0.35">
      <c r="E91" s="1352" t="s">
        <v>1973</v>
      </c>
      <c r="F91" s="1353" t="s">
        <v>1974</v>
      </c>
      <c r="G91" s="1353">
        <v>91</v>
      </c>
      <c r="H91" s="1353" t="s">
        <v>1866</v>
      </c>
      <c r="I91" s="1353" t="s">
        <v>1975</v>
      </c>
      <c r="J91" s="1354" t="s">
        <v>1976</v>
      </c>
    </row>
    <row r="92" spans="5:10" x14ac:dyDescent="0.35">
      <c r="E92" s="1352" t="s">
        <v>1973</v>
      </c>
      <c r="F92" s="1353" t="s">
        <v>1977</v>
      </c>
      <c r="G92" s="1353">
        <v>92</v>
      </c>
      <c r="H92" s="1353" t="s">
        <v>1866</v>
      </c>
      <c r="I92" s="1353" t="s">
        <v>1978</v>
      </c>
      <c r="J92" s="1354" t="s">
        <v>1979</v>
      </c>
    </row>
    <row r="93" spans="5:10" x14ac:dyDescent="0.35">
      <c r="E93" s="1352" t="s">
        <v>1973</v>
      </c>
      <c r="F93" s="1353" t="s">
        <v>1980</v>
      </c>
      <c r="G93" s="1353">
        <v>90</v>
      </c>
      <c r="H93" s="1353" t="s">
        <v>1866</v>
      </c>
      <c r="I93" s="1353" t="s">
        <v>1981</v>
      </c>
      <c r="J93" s="1354" t="s">
        <v>1982</v>
      </c>
    </row>
    <row r="94" spans="5:10" x14ac:dyDescent="0.35">
      <c r="E94" s="1352" t="s">
        <v>1973</v>
      </c>
      <c r="F94" s="1353" t="s">
        <v>1983</v>
      </c>
      <c r="G94" s="1353">
        <v>93</v>
      </c>
      <c r="H94" s="1353" t="s">
        <v>1866</v>
      </c>
      <c r="I94" s="1353" t="s">
        <v>1984</v>
      </c>
      <c r="J94" s="1354" t="s">
        <v>1985</v>
      </c>
    </row>
    <row r="95" spans="5:10" x14ac:dyDescent="0.35">
      <c r="E95" s="1352" t="s">
        <v>1973</v>
      </c>
      <c r="F95" s="1353" t="s">
        <v>1986</v>
      </c>
      <c r="G95" s="1353">
        <v>94</v>
      </c>
      <c r="H95" s="1353" t="s">
        <v>1866</v>
      </c>
      <c r="I95" s="1353" t="s">
        <v>1987</v>
      </c>
      <c r="J95" s="1354" t="s">
        <v>1988</v>
      </c>
    </row>
    <row r="96" spans="5:10" x14ac:dyDescent="0.35">
      <c r="E96" s="1352" t="s">
        <v>1973</v>
      </c>
      <c r="F96" s="1353" t="s">
        <v>1989</v>
      </c>
      <c r="G96" s="1353">
        <v>88</v>
      </c>
      <c r="H96" s="1353" t="s">
        <v>1866</v>
      </c>
      <c r="I96" s="1353" t="s">
        <v>1990</v>
      </c>
      <c r="J96" s="1354" t="s">
        <v>1991</v>
      </c>
    </row>
    <row r="97" spans="5:10" x14ac:dyDescent="0.35">
      <c r="E97" s="1352" t="s">
        <v>1973</v>
      </c>
      <c r="F97" s="1353" t="s">
        <v>1992</v>
      </c>
      <c r="G97" s="1353">
        <v>89</v>
      </c>
      <c r="H97" s="1353" t="s">
        <v>1866</v>
      </c>
      <c r="I97" s="1353" t="s">
        <v>1993</v>
      </c>
      <c r="J97" s="1354" t="s">
        <v>1994</v>
      </c>
    </row>
    <row r="98" spans="5:10" x14ac:dyDescent="0.35">
      <c r="E98" s="1352" t="s">
        <v>1973</v>
      </c>
      <c r="F98" s="1353" t="s">
        <v>1995</v>
      </c>
      <c r="G98" s="1353">
        <v>87</v>
      </c>
      <c r="H98" s="1353" t="s">
        <v>1866</v>
      </c>
      <c r="I98" s="1353" t="s">
        <v>1996</v>
      </c>
      <c r="J98" s="1354" t="s">
        <v>1997</v>
      </c>
    </row>
    <row r="99" spans="5:10" x14ac:dyDescent="0.35">
      <c r="E99" s="1352" t="s">
        <v>1998</v>
      </c>
      <c r="F99" s="1353" t="s">
        <v>1999</v>
      </c>
      <c r="G99" s="1353">
        <v>53</v>
      </c>
      <c r="H99" s="1353" t="s">
        <v>2000</v>
      </c>
      <c r="I99" s="1353" t="s">
        <v>2000</v>
      </c>
      <c r="J99" s="1354" t="s">
        <v>2001</v>
      </c>
    </row>
    <row r="100" spans="5:10" x14ac:dyDescent="0.35">
      <c r="E100" s="1352" t="s">
        <v>2002</v>
      </c>
      <c r="F100" s="1353" t="s">
        <v>2003</v>
      </c>
      <c r="G100" s="1353">
        <v>99</v>
      </c>
      <c r="H100" s="1353" t="s">
        <v>2004</v>
      </c>
      <c r="I100" s="1353" t="s">
        <v>2005</v>
      </c>
      <c r="J100" s="1354" t="s">
        <v>2006</v>
      </c>
    </row>
    <row r="101" spans="5:10" x14ac:dyDescent="0.35">
      <c r="E101" s="1352" t="s">
        <v>2002</v>
      </c>
      <c r="F101" s="1353" t="s">
        <v>2007</v>
      </c>
      <c r="G101" s="1353">
        <v>102</v>
      </c>
      <c r="H101" s="1353" t="s">
        <v>2004</v>
      </c>
      <c r="I101" s="1353" t="s">
        <v>2008</v>
      </c>
      <c r="J101" s="1354" t="s">
        <v>2009</v>
      </c>
    </row>
    <row r="102" spans="5:10" x14ac:dyDescent="0.35">
      <c r="E102" s="1352" t="s">
        <v>2002</v>
      </c>
      <c r="F102" s="1353" t="s">
        <v>2010</v>
      </c>
      <c r="G102" s="1353">
        <v>101</v>
      </c>
      <c r="H102" s="1353" t="s">
        <v>2004</v>
      </c>
      <c r="I102" s="1353" t="s">
        <v>2011</v>
      </c>
      <c r="J102" s="1354" t="s">
        <v>2012</v>
      </c>
    </row>
    <row r="103" spans="5:10" x14ac:dyDescent="0.35">
      <c r="E103" s="1352" t="s">
        <v>2002</v>
      </c>
      <c r="F103" s="1353" t="s">
        <v>2013</v>
      </c>
      <c r="G103" s="1353">
        <v>100</v>
      </c>
      <c r="H103" s="1353" t="s">
        <v>2004</v>
      </c>
      <c r="I103" s="1353" t="s">
        <v>2014</v>
      </c>
      <c r="J103" s="1354" t="s">
        <v>2015</v>
      </c>
    </row>
    <row r="104" spans="5:10" x14ac:dyDescent="0.35">
      <c r="E104" s="1352" t="s">
        <v>2016</v>
      </c>
      <c r="F104" s="1353" t="s">
        <v>2017</v>
      </c>
      <c r="G104" s="1353">
        <v>81</v>
      </c>
      <c r="H104" s="1353" t="s">
        <v>2018</v>
      </c>
      <c r="I104" s="1353" t="s">
        <v>2019</v>
      </c>
      <c r="J104" s="1354" t="s">
        <v>2020</v>
      </c>
    </row>
    <row r="105" spans="5:10" x14ac:dyDescent="0.35">
      <c r="E105" s="1352" t="s">
        <v>2016</v>
      </c>
      <c r="F105" s="1353" t="s">
        <v>2021</v>
      </c>
      <c r="G105" s="1353">
        <v>80</v>
      </c>
      <c r="H105" s="1353" t="s">
        <v>2018</v>
      </c>
      <c r="I105" s="1353" t="s">
        <v>2022</v>
      </c>
      <c r="J105" s="1354" t="s">
        <v>2023</v>
      </c>
    </row>
    <row r="106" spans="5:10" x14ac:dyDescent="0.35">
      <c r="E106" s="1352" t="s">
        <v>2016</v>
      </c>
      <c r="F106" s="1353" t="s">
        <v>2024</v>
      </c>
      <c r="G106" s="1353">
        <v>82</v>
      </c>
      <c r="H106" s="1353" t="s">
        <v>2018</v>
      </c>
      <c r="I106" s="1353" t="s">
        <v>2025</v>
      </c>
      <c r="J106" s="1354" t="s">
        <v>2026</v>
      </c>
    </row>
    <row r="107" spans="5:10" x14ac:dyDescent="0.35">
      <c r="E107" s="1352" t="s">
        <v>2016</v>
      </c>
      <c r="F107" s="1353" t="s">
        <v>2027</v>
      </c>
      <c r="G107" s="1353">
        <v>83</v>
      </c>
      <c r="H107" s="1353" t="s">
        <v>2018</v>
      </c>
      <c r="I107" s="1353" t="s">
        <v>2028</v>
      </c>
      <c r="J107" s="1354" t="s">
        <v>2029</v>
      </c>
    </row>
    <row r="108" spans="5:10" x14ac:dyDescent="0.35">
      <c r="E108" s="1352" t="s">
        <v>2016</v>
      </c>
      <c r="F108" s="1353" t="s">
        <v>2030</v>
      </c>
      <c r="G108" s="1353">
        <v>86</v>
      </c>
      <c r="H108" s="1353" t="s">
        <v>2018</v>
      </c>
      <c r="I108" s="1353" t="s">
        <v>2031</v>
      </c>
      <c r="J108" s="1354" t="s">
        <v>2032</v>
      </c>
    </row>
    <row r="109" spans="5:10" x14ac:dyDescent="0.35">
      <c r="E109" s="1352" t="s">
        <v>2016</v>
      </c>
      <c r="F109" s="1353" t="s">
        <v>2033</v>
      </c>
      <c r="G109" s="1353">
        <v>74</v>
      </c>
      <c r="H109" s="1353" t="s">
        <v>2018</v>
      </c>
      <c r="I109" s="1353" t="s">
        <v>2034</v>
      </c>
      <c r="J109" s="1354" t="s">
        <v>2035</v>
      </c>
    </row>
    <row r="110" spans="5:10" x14ac:dyDescent="0.35">
      <c r="E110" s="1352" t="s">
        <v>2016</v>
      </c>
      <c r="F110" s="1353" t="s">
        <v>2036</v>
      </c>
      <c r="G110" s="1353">
        <v>73</v>
      </c>
      <c r="H110" s="1353" t="s">
        <v>2018</v>
      </c>
      <c r="I110" s="1353" t="s">
        <v>2037</v>
      </c>
      <c r="J110" s="1354" t="s">
        <v>2038</v>
      </c>
    </row>
    <row r="111" spans="5:10" x14ac:dyDescent="0.35">
      <c r="E111" s="1352" t="s">
        <v>2016</v>
      </c>
      <c r="F111" s="1353" t="s">
        <v>2039</v>
      </c>
      <c r="G111" s="1353">
        <v>75</v>
      </c>
      <c r="H111" s="1353" t="s">
        <v>2018</v>
      </c>
      <c r="I111" s="1353" t="s">
        <v>2040</v>
      </c>
      <c r="J111" s="1354" t="s">
        <v>2041</v>
      </c>
    </row>
    <row r="112" spans="5:10" x14ac:dyDescent="0.35">
      <c r="E112" s="1352" t="s">
        <v>2016</v>
      </c>
      <c r="F112" s="1353" t="s">
        <v>2042</v>
      </c>
      <c r="G112" s="1353">
        <v>84</v>
      </c>
      <c r="H112" s="1353" t="s">
        <v>2018</v>
      </c>
      <c r="I112" s="1353" t="s">
        <v>2043</v>
      </c>
      <c r="J112" s="1354" t="s">
        <v>2044</v>
      </c>
    </row>
    <row r="113" spans="5:10" x14ac:dyDescent="0.35">
      <c r="E113" s="1352" t="s">
        <v>2016</v>
      </c>
      <c r="F113" s="1353" t="s">
        <v>2045</v>
      </c>
      <c r="G113" s="1353">
        <v>85</v>
      </c>
      <c r="H113" s="1353" t="s">
        <v>2018</v>
      </c>
      <c r="I113" s="1353" t="s">
        <v>2046</v>
      </c>
      <c r="J113" s="1354" t="s">
        <v>2047</v>
      </c>
    </row>
    <row r="114" spans="5:10" x14ac:dyDescent="0.35">
      <c r="E114" s="1352" t="s">
        <v>2016</v>
      </c>
      <c r="F114" s="1353" t="s">
        <v>2048</v>
      </c>
      <c r="G114" s="1353">
        <v>77</v>
      </c>
      <c r="H114" s="1353" t="s">
        <v>2018</v>
      </c>
      <c r="I114" s="1353" t="s">
        <v>2049</v>
      </c>
      <c r="J114" s="1354" t="s">
        <v>2050</v>
      </c>
    </row>
    <row r="115" spans="5:10" x14ac:dyDescent="0.35">
      <c r="E115" s="1352" t="s">
        <v>2016</v>
      </c>
      <c r="F115" s="1353" t="s">
        <v>2051</v>
      </c>
      <c r="G115" s="1353">
        <v>76</v>
      </c>
      <c r="H115" s="1353" t="s">
        <v>2018</v>
      </c>
      <c r="I115" s="1353" t="s">
        <v>2052</v>
      </c>
      <c r="J115" s="1354" t="s">
        <v>2053</v>
      </c>
    </row>
    <row r="116" spans="5:10" x14ac:dyDescent="0.35">
      <c r="E116" s="1352" t="s">
        <v>2016</v>
      </c>
      <c r="F116" s="1353" t="s">
        <v>2054</v>
      </c>
      <c r="G116" s="1353">
        <v>79</v>
      </c>
      <c r="H116" s="1353" t="s">
        <v>2018</v>
      </c>
      <c r="I116" s="1353" t="s">
        <v>2055</v>
      </c>
      <c r="J116" s="1354" t="s">
        <v>2056</v>
      </c>
    </row>
    <row r="117" spans="5:10" x14ac:dyDescent="0.35">
      <c r="E117" s="1352" t="s">
        <v>2016</v>
      </c>
      <c r="F117" s="1353" t="s">
        <v>2057</v>
      </c>
      <c r="G117" s="1353">
        <v>78</v>
      </c>
      <c r="H117" s="1353" t="s">
        <v>2018</v>
      </c>
      <c r="I117" s="1353" t="s">
        <v>2058</v>
      </c>
      <c r="J117" s="1354" t="s">
        <v>2059</v>
      </c>
    </row>
    <row r="118" spans="5:10" x14ac:dyDescent="0.35">
      <c r="E118" s="1352" t="s">
        <v>2060</v>
      </c>
      <c r="F118" s="1353" t="s">
        <v>2061</v>
      </c>
      <c r="G118" s="1353">
        <v>72</v>
      </c>
      <c r="H118" s="1353" t="s">
        <v>2062</v>
      </c>
      <c r="I118" s="1353" t="s">
        <v>2063</v>
      </c>
      <c r="J118" s="1354" t="s">
        <v>2064</v>
      </c>
    </row>
    <row r="119" spans="5:10" x14ac:dyDescent="0.35">
      <c r="E119" s="1352" t="s">
        <v>2060</v>
      </c>
      <c r="F119" s="1353" t="s">
        <v>2065</v>
      </c>
      <c r="G119" s="1353">
        <v>70</v>
      </c>
      <c r="H119" s="1353" t="s">
        <v>2062</v>
      </c>
      <c r="I119" s="1353" t="s">
        <v>2066</v>
      </c>
      <c r="J119" s="1354" t="s">
        <v>2067</v>
      </c>
    </row>
    <row r="120" spans="5:10" x14ac:dyDescent="0.35">
      <c r="E120" s="1352" t="s">
        <v>2060</v>
      </c>
      <c r="F120" s="1353" t="s">
        <v>2068</v>
      </c>
      <c r="G120" s="1353">
        <v>69</v>
      </c>
      <c r="H120" s="1353" t="s">
        <v>2062</v>
      </c>
      <c r="I120" s="1353" t="s">
        <v>2069</v>
      </c>
      <c r="J120" s="1354" t="s">
        <v>2070</v>
      </c>
    </row>
    <row r="121" spans="5:10" x14ac:dyDescent="0.35">
      <c r="E121" s="1352" t="s">
        <v>2060</v>
      </c>
      <c r="F121" s="1353" t="s">
        <v>2071</v>
      </c>
      <c r="G121" s="1353">
        <v>71</v>
      </c>
      <c r="H121" s="1353" t="s">
        <v>2062</v>
      </c>
      <c r="I121" s="1353" t="s">
        <v>2072</v>
      </c>
      <c r="J121" s="1354" t="s">
        <v>2073</v>
      </c>
    </row>
    <row r="122" spans="5:10" x14ac:dyDescent="0.35">
      <c r="E122" s="1352" t="s">
        <v>2060</v>
      </c>
      <c r="F122" s="1353" t="s">
        <v>2074</v>
      </c>
      <c r="G122" s="1353">
        <v>68</v>
      </c>
      <c r="H122" s="1353" t="s">
        <v>2062</v>
      </c>
      <c r="I122" s="1353" t="s">
        <v>2075</v>
      </c>
      <c r="J122" s="1354" t="s">
        <v>2076</v>
      </c>
    </row>
    <row r="123" spans="5:10" x14ac:dyDescent="0.35">
      <c r="E123" s="1352" t="s">
        <v>2060</v>
      </c>
      <c r="F123" s="1353" t="s">
        <v>2077</v>
      </c>
      <c r="G123" s="1353">
        <v>67</v>
      </c>
      <c r="H123" s="1353" t="s">
        <v>2062</v>
      </c>
      <c r="I123" s="1353" t="s">
        <v>2078</v>
      </c>
      <c r="J123" s="1354" t="s">
        <v>2079</v>
      </c>
    </row>
    <row r="124" spans="5:10" x14ac:dyDescent="0.35">
      <c r="E124" s="1352" t="s">
        <v>2080</v>
      </c>
      <c r="F124" s="1353" t="s">
        <v>2081</v>
      </c>
      <c r="G124" s="1353">
        <v>5</v>
      </c>
      <c r="H124" s="1353" t="s">
        <v>2082</v>
      </c>
      <c r="I124" s="1353" t="s">
        <v>2083</v>
      </c>
      <c r="J124" s="1354" t="s">
        <v>2084</v>
      </c>
    </row>
    <row r="125" spans="5:10" x14ac:dyDescent="0.35">
      <c r="E125" s="1352" t="s">
        <v>2080</v>
      </c>
      <c r="F125" s="1353" t="s">
        <v>2085</v>
      </c>
      <c r="G125" s="1353">
        <v>6</v>
      </c>
      <c r="H125" s="1353" t="s">
        <v>2082</v>
      </c>
      <c r="I125" s="1353" t="s">
        <v>1740</v>
      </c>
      <c r="J125" s="1354" t="s">
        <v>2086</v>
      </c>
    </row>
    <row r="126" spans="5:10" x14ac:dyDescent="0.35">
      <c r="E126" s="1352" t="s">
        <v>2080</v>
      </c>
      <c r="F126" s="1353" t="s">
        <v>2087</v>
      </c>
      <c r="G126" s="1353">
        <v>7</v>
      </c>
      <c r="H126" s="1353" t="s">
        <v>2082</v>
      </c>
      <c r="I126" s="1353" t="s">
        <v>2088</v>
      </c>
      <c r="J126" s="1354" t="s">
        <v>2089</v>
      </c>
    </row>
    <row r="127" spans="5:10" x14ac:dyDescent="0.35">
      <c r="E127" s="1352" t="s">
        <v>2090</v>
      </c>
      <c r="F127" s="1353" t="s">
        <v>2091</v>
      </c>
      <c r="G127" s="1353">
        <v>103</v>
      </c>
      <c r="H127" s="1353" t="s">
        <v>2092</v>
      </c>
      <c r="I127" s="1353" t="s">
        <v>2093</v>
      </c>
      <c r="J127" s="1354" t="s">
        <v>2094</v>
      </c>
    </row>
    <row r="128" spans="5:10" x14ac:dyDescent="0.35">
      <c r="E128" s="1352" t="s">
        <v>2095</v>
      </c>
      <c r="F128" s="1353" t="s">
        <v>2096</v>
      </c>
      <c r="G128" s="1353">
        <v>98</v>
      </c>
      <c r="H128" s="1353" t="s">
        <v>2097</v>
      </c>
      <c r="I128" s="1353" t="s">
        <v>2098</v>
      </c>
      <c r="J128" s="1354" t="s">
        <v>2099</v>
      </c>
    </row>
    <row r="129" spans="5:10" x14ac:dyDescent="0.35">
      <c r="E129" s="1352" t="s">
        <v>2100</v>
      </c>
      <c r="F129" s="1353" t="s">
        <v>2101</v>
      </c>
      <c r="G129" s="1353">
        <v>8</v>
      </c>
      <c r="H129" s="1353" t="s">
        <v>2102</v>
      </c>
      <c r="I129" s="1353" t="s">
        <v>2103</v>
      </c>
      <c r="J129" s="1354" t="s">
        <v>2104</v>
      </c>
    </row>
    <row r="130" spans="5:10" x14ac:dyDescent="0.35">
      <c r="E130" s="1355" t="s">
        <v>2100</v>
      </c>
      <c r="F130" s="1356" t="s">
        <v>2105</v>
      </c>
      <c r="G130" s="1356">
        <v>9</v>
      </c>
      <c r="H130" s="1356" t="s">
        <v>2102</v>
      </c>
      <c r="I130" s="1356" t="s">
        <v>2106</v>
      </c>
      <c r="J130" s="1357" t="s">
        <v>2107</v>
      </c>
    </row>
    <row r="131" spans="5:10" x14ac:dyDescent="0.35">
      <c r="E131" s="1352" t="s">
        <v>2108</v>
      </c>
      <c r="F131" s="1353" t="s">
        <v>2108</v>
      </c>
      <c r="G131" s="1353"/>
      <c r="H131" s="1353" t="s">
        <v>2108</v>
      </c>
      <c r="I131" s="1353" t="s">
        <v>2108</v>
      </c>
      <c r="J131" s="1354" t="s">
        <v>2109</v>
      </c>
    </row>
    <row r="132" spans="5:10" x14ac:dyDescent="0.35">
      <c r="E132" s="1355" t="s">
        <v>854</v>
      </c>
      <c r="F132" s="1356" t="s">
        <v>854</v>
      </c>
      <c r="G132" s="1356" t="s">
        <v>854</v>
      </c>
      <c r="H132" s="1356" t="s">
        <v>854</v>
      </c>
      <c r="I132" s="1356" t="s">
        <v>854</v>
      </c>
      <c r="J132" s="1357" t="s">
        <v>854</v>
      </c>
    </row>
    <row r="133" spans="5:10" x14ac:dyDescent="0.35">
      <c r="E133" s="1355" t="s">
        <v>854</v>
      </c>
      <c r="F133" s="1356" t="s">
        <v>854</v>
      </c>
      <c r="G133" s="1356" t="s">
        <v>854</v>
      </c>
      <c r="H133" s="1356" t="s">
        <v>854</v>
      </c>
      <c r="I133" s="1356" t="s">
        <v>854</v>
      </c>
      <c r="J133" s="1357" t="s">
        <v>854</v>
      </c>
    </row>
  </sheetData>
  <phoneticPr fontId="38" type="noConversion"/>
  <pageMargins left="0.7" right="0.7" top="0.75" bottom="0.75"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90"/>
  <sheetViews>
    <sheetView zoomScale="85" zoomScaleNormal="85" workbookViewId="0">
      <selection activeCell="E7" sqref="E7"/>
    </sheetView>
  </sheetViews>
  <sheetFormatPr defaultColWidth="8.84375" defaultRowHeight="14" x14ac:dyDescent="0.35"/>
  <cols>
    <col min="1" max="1" width="2.15234375" style="8" customWidth="1"/>
    <col min="2" max="2" width="22.84375" style="8" customWidth="1"/>
    <col min="3" max="3" width="18.07421875" style="8" customWidth="1"/>
    <col min="4" max="4" width="23.15234375" style="8" customWidth="1"/>
    <col min="5" max="5" width="29.84375" style="8" bestFit="1" customWidth="1"/>
    <col min="6" max="6" width="32" style="8" customWidth="1"/>
    <col min="7" max="7" width="23.53515625" style="8" customWidth="1"/>
    <col min="8" max="8" width="16.53515625" style="8" customWidth="1"/>
    <col min="9" max="10" width="26.84375" style="8" customWidth="1"/>
    <col min="11" max="11" width="32.84375" style="8" customWidth="1"/>
    <col min="12" max="12" width="25.4609375" style="8" customWidth="1"/>
    <col min="13" max="256" width="8.84375" style="8"/>
    <col min="257" max="257" width="1.4609375" style="8" customWidth="1"/>
    <col min="258" max="258" width="3.84375" style="8" customWidth="1"/>
    <col min="259" max="259" width="17.07421875" style="8" customWidth="1"/>
    <col min="260" max="260" width="16.15234375" style="8" customWidth="1"/>
    <col min="261" max="261" width="23.15234375" style="8" customWidth="1"/>
    <col min="262" max="262" width="29.84375" style="8" bestFit="1" customWidth="1"/>
    <col min="263" max="263" width="16.07421875" style="8" customWidth="1"/>
    <col min="264" max="264" width="16.53515625" style="8" customWidth="1"/>
    <col min="265" max="265" width="16.4609375" style="8" customWidth="1"/>
    <col min="266" max="266" width="36.84375" style="8" customWidth="1"/>
    <col min="267" max="267" width="8.84375" style="8"/>
    <col min="268" max="268" width="2" style="8" customWidth="1"/>
    <col min="269" max="512" width="8.84375" style="8"/>
    <col min="513" max="513" width="1.4609375" style="8" customWidth="1"/>
    <col min="514" max="514" width="3.84375" style="8" customWidth="1"/>
    <col min="515" max="515" width="17.07421875" style="8" customWidth="1"/>
    <col min="516" max="516" width="16.15234375" style="8" customWidth="1"/>
    <col min="517" max="517" width="23.15234375" style="8" customWidth="1"/>
    <col min="518" max="518" width="29.84375" style="8" bestFit="1" customWidth="1"/>
    <col min="519" max="519" width="16.07421875" style="8" customWidth="1"/>
    <col min="520" max="520" width="16.53515625" style="8" customWidth="1"/>
    <col min="521" max="521" width="16.4609375" style="8" customWidth="1"/>
    <col min="522" max="522" width="36.84375" style="8" customWidth="1"/>
    <col min="523" max="523" width="8.84375" style="8"/>
    <col min="524" max="524" width="2" style="8" customWidth="1"/>
    <col min="525" max="768" width="8.84375" style="8"/>
    <col min="769" max="769" width="1.4609375" style="8" customWidth="1"/>
    <col min="770" max="770" width="3.84375" style="8" customWidth="1"/>
    <col min="771" max="771" width="17.07421875" style="8" customWidth="1"/>
    <col min="772" max="772" width="16.15234375" style="8" customWidth="1"/>
    <col min="773" max="773" width="23.15234375" style="8" customWidth="1"/>
    <col min="774" max="774" width="29.84375" style="8" bestFit="1" customWidth="1"/>
    <col min="775" max="775" width="16.07421875" style="8" customWidth="1"/>
    <col min="776" max="776" width="16.53515625" style="8" customWidth="1"/>
    <col min="777" max="777" width="16.4609375" style="8" customWidth="1"/>
    <col min="778" max="778" width="36.84375" style="8" customWidth="1"/>
    <col min="779" max="779" width="8.84375" style="8"/>
    <col min="780" max="780" width="2" style="8" customWidth="1"/>
    <col min="781" max="1024" width="8.84375" style="8"/>
    <col min="1025" max="1025" width="1.4609375" style="8" customWidth="1"/>
    <col min="1026" max="1026" width="3.84375" style="8" customWidth="1"/>
    <col min="1027" max="1027" width="17.07421875" style="8" customWidth="1"/>
    <col min="1028" max="1028" width="16.15234375" style="8" customWidth="1"/>
    <col min="1029" max="1029" width="23.15234375" style="8" customWidth="1"/>
    <col min="1030" max="1030" width="29.84375" style="8" bestFit="1" customWidth="1"/>
    <col min="1031" max="1031" width="16.07421875" style="8" customWidth="1"/>
    <col min="1032" max="1032" width="16.53515625" style="8" customWidth="1"/>
    <col min="1033" max="1033" width="16.4609375" style="8" customWidth="1"/>
    <col min="1034" max="1034" width="36.84375" style="8" customWidth="1"/>
    <col min="1035" max="1035" width="8.84375" style="8"/>
    <col min="1036" max="1036" width="2" style="8" customWidth="1"/>
    <col min="1037" max="1280" width="8.84375" style="8"/>
    <col min="1281" max="1281" width="1.4609375" style="8" customWidth="1"/>
    <col min="1282" max="1282" width="3.84375" style="8" customWidth="1"/>
    <col min="1283" max="1283" width="17.07421875" style="8" customWidth="1"/>
    <col min="1284" max="1284" width="16.15234375" style="8" customWidth="1"/>
    <col min="1285" max="1285" width="23.15234375" style="8" customWidth="1"/>
    <col min="1286" max="1286" width="29.84375" style="8" bestFit="1" customWidth="1"/>
    <col min="1287" max="1287" width="16.07421875" style="8" customWidth="1"/>
    <col min="1288" max="1288" width="16.53515625" style="8" customWidth="1"/>
    <col min="1289" max="1289" width="16.4609375" style="8" customWidth="1"/>
    <col min="1290" max="1290" width="36.84375" style="8" customWidth="1"/>
    <col min="1291" max="1291" width="8.84375" style="8"/>
    <col min="1292" max="1292" width="2" style="8" customWidth="1"/>
    <col min="1293" max="1536" width="8.84375" style="8"/>
    <col min="1537" max="1537" width="1.4609375" style="8" customWidth="1"/>
    <col min="1538" max="1538" width="3.84375" style="8" customWidth="1"/>
    <col min="1539" max="1539" width="17.07421875" style="8" customWidth="1"/>
    <col min="1540" max="1540" width="16.15234375" style="8" customWidth="1"/>
    <col min="1541" max="1541" width="23.15234375" style="8" customWidth="1"/>
    <col min="1542" max="1542" width="29.84375" style="8" bestFit="1" customWidth="1"/>
    <col min="1543" max="1543" width="16.07421875" style="8" customWidth="1"/>
    <col min="1544" max="1544" width="16.53515625" style="8" customWidth="1"/>
    <col min="1545" max="1545" width="16.4609375" style="8" customWidth="1"/>
    <col min="1546" max="1546" width="36.84375" style="8" customWidth="1"/>
    <col min="1547" max="1547" width="8.84375" style="8"/>
    <col min="1548" max="1548" width="2" style="8" customWidth="1"/>
    <col min="1549" max="1792" width="8.84375" style="8"/>
    <col min="1793" max="1793" width="1.4609375" style="8" customWidth="1"/>
    <col min="1794" max="1794" width="3.84375" style="8" customWidth="1"/>
    <col min="1795" max="1795" width="17.07421875" style="8" customWidth="1"/>
    <col min="1796" max="1796" width="16.15234375" style="8" customWidth="1"/>
    <col min="1797" max="1797" width="23.15234375" style="8" customWidth="1"/>
    <col min="1798" max="1798" width="29.84375" style="8" bestFit="1" customWidth="1"/>
    <col min="1799" max="1799" width="16.07421875" style="8" customWidth="1"/>
    <col min="1800" max="1800" width="16.53515625" style="8" customWidth="1"/>
    <col min="1801" max="1801" width="16.4609375" style="8" customWidth="1"/>
    <col min="1802" max="1802" width="36.84375" style="8" customWidth="1"/>
    <col min="1803" max="1803" width="8.84375" style="8"/>
    <col min="1804" max="1804" width="2" style="8" customWidth="1"/>
    <col min="1805" max="2048" width="8.84375" style="8"/>
    <col min="2049" max="2049" width="1.4609375" style="8" customWidth="1"/>
    <col min="2050" max="2050" width="3.84375" style="8" customWidth="1"/>
    <col min="2051" max="2051" width="17.07421875" style="8" customWidth="1"/>
    <col min="2052" max="2052" width="16.15234375" style="8" customWidth="1"/>
    <col min="2053" max="2053" width="23.15234375" style="8" customWidth="1"/>
    <col min="2054" max="2054" width="29.84375" style="8" bestFit="1" customWidth="1"/>
    <col min="2055" max="2055" width="16.07421875" style="8" customWidth="1"/>
    <col min="2056" max="2056" width="16.53515625" style="8" customWidth="1"/>
    <col min="2057" max="2057" width="16.4609375" style="8" customWidth="1"/>
    <col min="2058" max="2058" width="36.84375" style="8" customWidth="1"/>
    <col min="2059" max="2059" width="8.84375" style="8"/>
    <col min="2060" max="2060" width="2" style="8" customWidth="1"/>
    <col min="2061" max="2304" width="8.84375" style="8"/>
    <col min="2305" max="2305" width="1.4609375" style="8" customWidth="1"/>
    <col min="2306" max="2306" width="3.84375" style="8" customWidth="1"/>
    <col min="2307" max="2307" width="17.07421875" style="8" customWidth="1"/>
    <col min="2308" max="2308" width="16.15234375" style="8" customWidth="1"/>
    <col min="2309" max="2309" width="23.15234375" style="8" customWidth="1"/>
    <col min="2310" max="2310" width="29.84375" style="8" bestFit="1" customWidth="1"/>
    <col min="2311" max="2311" width="16.07421875" style="8" customWidth="1"/>
    <col min="2312" max="2312" width="16.53515625" style="8" customWidth="1"/>
    <col min="2313" max="2313" width="16.4609375" style="8" customWidth="1"/>
    <col min="2314" max="2314" width="36.84375" style="8" customWidth="1"/>
    <col min="2315" max="2315" width="8.84375" style="8"/>
    <col min="2316" max="2316" width="2" style="8" customWidth="1"/>
    <col min="2317" max="2560" width="8.84375" style="8"/>
    <col min="2561" max="2561" width="1.4609375" style="8" customWidth="1"/>
    <col min="2562" max="2562" width="3.84375" style="8" customWidth="1"/>
    <col min="2563" max="2563" width="17.07421875" style="8" customWidth="1"/>
    <col min="2564" max="2564" width="16.15234375" style="8" customWidth="1"/>
    <col min="2565" max="2565" width="23.15234375" style="8" customWidth="1"/>
    <col min="2566" max="2566" width="29.84375" style="8" bestFit="1" customWidth="1"/>
    <col min="2567" max="2567" width="16.07421875" style="8" customWidth="1"/>
    <col min="2568" max="2568" width="16.53515625" style="8" customWidth="1"/>
    <col min="2569" max="2569" width="16.4609375" style="8" customWidth="1"/>
    <col min="2570" max="2570" width="36.84375" style="8" customWidth="1"/>
    <col min="2571" max="2571" width="8.84375" style="8"/>
    <col min="2572" max="2572" width="2" style="8" customWidth="1"/>
    <col min="2573" max="2816" width="8.84375" style="8"/>
    <col min="2817" max="2817" width="1.4609375" style="8" customWidth="1"/>
    <col min="2818" max="2818" width="3.84375" style="8" customWidth="1"/>
    <col min="2819" max="2819" width="17.07421875" style="8" customWidth="1"/>
    <col min="2820" max="2820" width="16.15234375" style="8" customWidth="1"/>
    <col min="2821" max="2821" width="23.15234375" style="8" customWidth="1"/>
    <col min="2822" max="2822" width="29.84375" style="8" bestFit="1" customWidth="1"/>
    <col min="2823" max="2823" width="16.07421875" style="8" customWidth="1"/>
    <col min="2824" max="2824" width="16.53515625" style="8" customWidth="1"/>
    <col min="2825" max="2825" width="16.4609375" style="8" customWidth="1"/>
    <col min="2826" max="2826" width="36.84375" style="8" customWidth="1"/>
    <col min="2827" max="2827" width="8.84375" style="8"/>
    <col min="2828" max="2828" width="2" style="8" customWidth="1"/>
    <col min="2829" max="3072" width="8.84375" style="8"/>
    <col min="3073" max="3073" width="1.4609375" style="8" customWidth="1"/>
    <col min="3074" max="3074" width="3.84375" style="8" customWidth="1"/>
    <col min="3075" max="3075" width="17.07421875" style="8" customWidth="1"/>
    <col min="3076" max="3076" width="16.15234375" style="8" customWidth="1"/>
    <col min="3077" max="3077" width="23.15234375" style="8" customWidth="1"/>
    <col min="3078" max="3078" width="29.84375" style="8" bestFit="1" customWidth="1"/>
    <col min="3079" max="3079" width="16.07421875" style="8" customWidth="1"/>
    <col min="3080" max="3080" width="16.53515625" style="8" customWidth="1"/>
    <col min="3081" max="3081" width="16.4609375" style="8" customWidth="1"/>
    <col min="3082" max="3082" width="36.84375" style="8" customWidth="1"/>
    <col min="3083" max="3083" width="8.84375" style="8"/>
    <col min="3084" max="3084" width="2" style="8" customWidth="1"/>
    <col min="3085" max="3328" width="8.84375" style="8"/>
    <col min="3329" max="3329" width="1.4609375" style="8" customWidth="1"/>
    <col min="3330" max="3330" width="3.84375" style="8" customWidth="1"/>
    <col min="3331" max="3331" width="17.07421875" style="8" customWidth="1"/>
    <col min="3332" max="3332" width="16.15234375" style="8" customWidth="1"/>
    <col min="3333" max="3333" width="23.15234375" style="8" customWidth="1"/>
    <col min="3334" max="3334" width="29.84375" style="8" bestFit="1" customWidth="1"/>
    <col min="3335" max="3335" width="16.07421875" style="8" customWidth="1"/>
    <col min="3336" max="3336" width="16.53515625" style="8" customWidth="1"/>
    <col min="3337" max="3337" width="16.4609375" style="8" customWidth="1"/>
    <col min="3338" max="3338" width="36.84375" style="8" customWidth="1"/>
    <col min="3339" max="3339" width="8.84375" style="8"/>
    <col min="3340" max="3340" width="2" style="8" customWidth="1"/>
    <col min="3341" max="3584" width="8.84375" style="8"/>
    <col min="3585" max="3585" width="1.4609375" style="8" customWidth="1"/>
    <col min="3586" max="3586" width="3.84375" style="8" customWidth="1"/>
    <col min="3587" max="3587" width="17.07421875" style="8" customWidth="1"/>
    <col min="3588" max="3588" width="16.15234375" style="8" customWidth="1"/>
    <col min="3589" max="3589" width="23.15234375" style="8" customWidth="1"/>
    <col min="3590" max="3590" width="29.84375" style="8" bestFit="1" customWidth="1"/>
    <col min="3591" max="3591" width="16.07421875" style="8" customWidth="1"/>
    <col min="3592" max="3592" width="16.53515625" style="8" customWidth="1"/>
    <col min="3593" max="3593" width="16.4609375" style="8" customWidth="1"/>
    <col min="3594" max="3594" width="36.84375" style="8" customWidth="1"/>
    <col min="3595" max="3595" width="8.84375" style="8"/>
    <col min="3596" max="3596" width="2" style="8" customWidth="1"/>
    <col min="3597" max="3840" width="8.84375" style="8"/>
    <col min="3841" max="3841" width="1.4609375" style="8" customWidth="1"/>
    <col min="3842" max="3842" width="3.84375" style="8" customWidth="1"/>
    <col min="3843" max="3843" width="17.07421875" style="8" customWidth="1"/>
    <col min="3844" max="3844" width="16.15234375" style="8" customWidth="1"/>
    <col min="3845" max="3845" width="23.15234375" style="8" customWidth="1"/>
    <col min="3846" max="3846" width="29.84375" style="8" bestFit="1" customWidth="1"/>
    <col min="3847" max="3847" width="16.07421875" style="8" customWidth="1"/>
    <col min="3848" max="3848" width="16.53515625" style="8" customWidth="1"/>
    <col min="3849" max="3849" width="16.4609375" style="8" customWidth="1"/>
    <col min="3850" max="3850" width="36.84375" style="8" customWidth="1"/>
    <col min="3851" max="3851" width="8.84375" style="8"/>
    <col min="3852" max="3852" width="2" style="8" customWidth="1"/>
    <col min="3853" max="4096" width="8.84375" style="8"/>
    <col min="4097" max="4097" width="1.4609375" style="8" customWidth="1"/>
    <col min="4098" max="4098" width="3.84375" style="8" customWidth="1"/>
    <col min="4099" max="4099" width="17.07421875" style="8" customWidth="1"/>
    <col min="4100" max="4100" width="16.15234375" style="8" customWidth="1"/>
    <col min="4101" max="4101" width="23.15234375" style="8" customWidth="1"/>
    <col min="4102" max="4102" width="29.84375" style="8" bestFit="1" customWidth="1"/>
    <col min="4103" max="4103" width="16.07421875" style="8" customWidth="1"/>
    <col min="4104" max="4104" width="16.53515625" style="8" customWidth="1"/>
    <col min="4105" max="4105" width="16.4609375" style="8" customWidth="1"/>
    <col min="4106" max="4106" width="36.84375" style="8" customWidth="1"/>
    <col min="4107" max="4107" width="8.84375" style="8"/>
    <col min="4108" max="4108" width="2" style="8" customWidth="1"/>
    <col min="4109" max="4352" width="8.84375" style="8"/>
    <col min="4353" max="4353" width="1.4609375" style="8" customWidth="1"/>
    <col min="4354" max="4354" width="3.84375" style="8" customWidth="1"/>
    <col min="4355" max="4355" width="17.07421875" style="8" customWidth="1"/>
    <col min="4356" max="4356" width="16.15234375" style="8" customWidth="1"/>
    <col min="4357" max="4357" width="23.15234375" style="8" customWidth="1"/>
    <col min="4358" max="4358" width="29.84375" style="8" bestFit="1" customWidth="1"/>
    <col min="4359" max="4359" width="16.07421875" style="8" customWidth="1"/>
    <col min="4360" max="4360" width="16.53515625" style="8" customWidth="1"/>
    <col min="4361" max="4361" width="16.4609375" style="8" customWidth="1"/>
    <col min="4362" max="4362" width="36.84375" style="8" customWidth="1"/>
    <col min="4363" max="4363" width="8.84375" style="8"/>
    <col min="4364" max="4364" width="2" style="8" customWidth="1"/>
    <col min="4365" max="4608" width="8.84375" style="8"/>
    <col min="4609" max="4609" width="1.4609375" style="8" customWidth="1"/>
    <col min="4610" max="4610" width="3.84375" style="8" customWidth="1"/>
    <col min="4611" max="4611" width="17.07421875" style="8" customWidth="1"/>
    <col min="4612" max="4612" width="16.15234375" style="8" customWidth="1"/>
    <col min="4613" max="4613" width="23.15234375" style="8" customWidth="1"/>
    <col min="4614" max="4614" width="29.84375" style="8" bestFit="1" customWidth="1"/>
    <col min="4615" max="4615" width="16.07421875" style="8" customWidth="1"/>
    <col min="4616" max="4616" width="16.53515625" style="8" customWidth="1"/>
    <col min="4617" max="4617" width="16.4609375" style="8" customWidth="1"/>
    <col min="4618" max="4618" width="36.84375" style="8" customWidth="1"/>
    <col min="4619" max="4619" width="8.84375" style="8"/>
    <col min="4620" max="4620" width="2" style="8" customWidth="1"/>
    <col min="4621" max="4864" width="8.84375" style="8"/>
    <col min="4865" max="4865" width="1.4609375" style="8" customWidth="1"/>
    <col min="4866" max="4866" width="3.84375" style="8" customWidth="1"/>
    <col min="4867" max="4867" width="17.07421875" style="8" customWidth="1"/>
    <col min="4868" max="4868" width="16.15234375" style="8" customWidth="1"/>
    <col min="4869" max="4869" width="23.15234375" style="8" customWidth="1"/>
    <col min="4870" max="4870" width="29.84375" style="8" bestFit="1" customWidth="1"/>
    <col min="4871" max="4871" width="16.07421875" style="8" customWidth="1"/>
    <col min="4872" max="4872" width="16.53515625" style="8" customWidth="1"/>
    <col min="4873" max="4873" width="16.4609375" style="8" customWidth="1"/>
    <col min="4874" max="4874" width="36.84375" style="8" customWidth="1"/>
    <col min="4875" max="4875" width="8.84375" style="8"/>
    <col min="4876" max="4876" width="2" style="8" customWidth="1"/>
    <col min="4877" max="5120" width="8.84375" style="8"/>
    <col min="5121" max="5121" width="1.4609375" style="8" customWidth="1"/>
    <col min="5122" max="5122" width="3.84375" style="8" customWidth="1"/>
    <col min="5123" max="5123" width="17.07421875" style="8" customWidth="1"/>
    <col min="5124" max="5124" width="16.15234375" style="8" customWidth="1"/>
    <col min="5125" max="5125" width="23.15234375" style="8" customWidth="1"/>
    <col min="5126" max="5126" width="29.84375" style="8" bestFit="1" customWidth="1"/>
    <col min="5127" max="5127" width="16.07421875" style="8" customWidth="1"/>
    <col min="5128" max="5128" width="16.53515625" style="8" customWidth="1"/>
    <col min="5129" max="5129" width="16.4609375" style="8" customWidth="1"/>
    <col min="5130" max="5130" width="36.84375" style="8" customWidth="1"/>
    <col min="5131" max="5131" width="8.84375" style="8"/>
    <col min="5132" max="5132" width="2" style="8" customWidth="1"/>
    <col min="5133" max="5376" width="8.84375" style="8"/>
    <col min="5377" max="5377" width="1.4609375" style="8" customWidth="1"/>
    <col min="5378" max="5378" width="3.84375" style="8" customWidth="1"/>
    <col min="5379" max="5379" width="17.07421875" style="8" customWidth="1"/>
    <col min="5380" max="5380" width="16.15234375" style="8" customWidth="1"/>
    <col min="5381" max="5381" width="23.15234375" style="8" customWidth="1"/>
    <col min="5382" max="5382" width="29.84375" style="8" bestFit="1" customWidth="1"/>
    <col min="5383" max="5383" width="16.07421875" style="8" customWidth="1"/>
    <col min="5384" max="5384" width="16.53515625" style="8" customWidth="1"/>
    <col min="5385" max="5385" width="16.4609375" style="8" customWidth="1"/>
    <col min="5386" max="5386" width="36.84375" style="8" customWidth="1"/>
    <col min="5387" max="5387" width="8.84375" style="8"/>
    <col min="5388" max="5388" width="2" style="8" customWidth="1"/>
    <col min="5389" max="5632" width="8.84375" style="8"/>
    <col min="5633" max="5633" width="1.4609375" style="8" customWidth="1"/>
    <col min="5634" max="5634" width="3.84375" style="8" customWidth="1"/>
    <col min="5635" max="5635" width="17.07421875" style="8" customWidth="1"/>
    <col min="5636" max="5636" width="16.15234375" style="8" customWidth="1"/>
    <col min="5637" max="5637" width="23.15234375" style="8" customWidth="1"/>
    <col min="5638" max="5638" width="29.84375" style="8" bestFit="1" customWidth="1"/>
    <col min="5639" max="5639" width="16.07421875" style="8" customWidth="1"/>
    <col min="5640" max="5640" width="16.53515625" style="8" customWidth="1"/>
    <col min="5641" max="5641" width="16.4609375" style="8" customWidth="1"/>
    <col min="5642" max="5642" width="36.84375" style="8" customWidth="1"/>
    <col min="5643" max="5643" width="8.84375" style="8"/>
    <col min="5644" max="5644" width="2" style="8" customWidth="1"/>
    <col min="5645" max="5888" width="8.84375" style="8"/>
    <col min="5889" max="5889" width="1.4609375" style="8" customWidth="1"/>
    <col min="5890" max="5890" width="3.84375" style="8" customWidth="1"/>
    <col min="5891" max="5891" width="17.07421875" style="8" customWidth="1"/>
    <col min="5892" max="5892" width="16.15234375" style="8" customWidth="1"/>
    <col min="5893" max="5893" width="23.15234375" style="8" customWidth="1"/>
    <col min="5894" max="5894" width="29.84375" style="8" bestFit="1" customWidth="1"/>
    <col min="5895" max="5895" width="16.07421875" style="8" customWidth="1"/>
    <col min="5896" max="5896" width="16.53515625" style="8" customWidth="1"/>
    <col min="5897" max="5897" width="16.4609375" style="8" customWidth="1"/>
    <col min="5898" max="5898" width="36.84375" style="8" customWidth="1"/>
    <col min="5899" max="5899" width="8.84375" style="8"/>
    <col min="5900" max="5900" width="2" style="8" customWidth="1"/>
    <col min="5901" max="6144" width="8.84375" style="8"/>
    <col min="6145" max="6145" width="1.4609375" style="8" customWidth="1"/>
    <col min="6146" max="6146" width="3.84375" style="8" customWidth="1"/>
    <col min="6147" max="6147" width="17.07421875" style="8" customWidth="1"/>
    <col min="6148" max="6148" width="16.15234375" style="8" customWidth="1"/>
    <col min="6149" max="6149" width="23.15234375" style="8" customWidth="1"/>
    <col min="6150" max="6150" width="29.84375" style="8" bestFit="1" customWidth="1"/>
    <col min="6151" max="6151" width="16.07421875" style="8" customWidth="1"/>
    <col min="6152" max="6152" width="16.53515625" style="8" customWidth="1"/>
    <col min="6153" max="6153" width="16.4609375" style="8" customWidth="1"/>
    <col min="6154" max="6154" width="36.84375" style="8" customWidth="1"/>
    <col min="6155" max="6155" width="8.84375" style="8"/>
    <col min="6156" max="6156" width="2" style="8" customWidth="1"/>
    <col min="6157" max="6400" width="8.84375" style="8"/>
    <col min="6401" max="6401" width="1.4609375" style="8" customWidth="1"/>
    <col min="6402" max="6402" width="3.84375" style="8" customWidth="1"/>
    <col min="6403" max="6403" width="17.07421875" style="8" customWidth="1"/>
    <col min="6404" max="6404" width="16.15234375" style="8" customWidth="1"/>
    <col min="6405" max="6405" width="23.15234375" style="8" customWidth="1"/>
    <col min="6406" max="6406" width="29.84375" style="8" bestFit="1" customWidth="1"/>
    <col min="6407" max="6407" width="16.07421875" style="8" customWidth="1"/>
    <col min="6408" max="6408" width="16.53515625" style="8" customWidth="1"/>
    <col min="6409" max="6409" width="16.4609375" style="8" customWidth="1"/>
    <col min="6410" max="6410" width="36.84375" style="8" customWidth="1"/>
    <col min="6411" max="6411" width="8.84375" style="8"/>
    <col min="6412" max="6412" width="2" style="8" customWidth="1"/>
    <col min="6413" max="6656" width="8.84375" style="8"/>
    <col min="6657" max="6657" width="1.4609375" style="8" customWidth="1"/>
    <col min="6658" max="6658" width="3.84375" style="8" customWidth="1"/>
    <col min="6659" max="6659" width="17.07421875" style="8" customWidth="1"/>
    <col min="6660" max="6660" width="16.15234375" style="8" customWidth="1"/>
    <col min="6661" max="6661" width="23.15234375" style="8" customWidth="1"/>
    <col min="6662" max="6662" width="29.84375" style="8" bestFit="1" customWidth="1"/>
    <col min="6663" max="6663" width="16.07421875" style="8" customWidth="1"/>
    <col min="6664" max="6664" width="16.53515625" style="8" customWidth="1"/>
    <col min="6665" max="6665" width="16.4609375" style="8" customWidth="1"/>
    <col min="6666" max="6666" width="36.84375" style="8" customWidth="1"/>
    <col min="6667" max="6667" width="8.84375" style="8"/>
    <col min="6668" max="6668" width="2" style="8" customWidth="1"/>
    <col min="6669" max="6912" width="8.84375" style="8"/>
    <col min="6913" max="6913" width="1.4609375" style="8" customWidth="1"/>
    <col min="6914" max="6914" width="3.84375" style="8" customWidth="1"/>
    <col min="6915" max="6915" width="17.07421875" style="8" customWidth="1"/>
    <col min="6916" max="6916" width="16.15234375" style="8" customWidth="1"/>
    <col min="6917" max="6917" width="23.15234375" style="8" customWidth="1"/>
    <col min="6918" max="6918" width="29.84375" style="8" bestFit="1" customWidth="1"/>
    <col min="6919" max="6919" width="16.07421875" style="8" customWidth="1"/>
    <col min="6920" max="6920" width="16.53515625" style="8" customWidth="1"/>
    <col min="6921" max="6921" width="16.4609375" style="8" customWidth="1"/>
    <col min="6922" max="6922" width="36.84375" style="8" customWidth="1"/>
    <col min="6923" max="6923" width="8.84375" style="8"/>
    <col min="6924" max="6924" width="2" style="8" customWidth="1"/>
    <col min="6925" max="7168" width="8.84375" style="8"/>
    <col min="7169" max="7169" width="1.4609375" style="8" customWidth="1"/>
    <col min="7170" max="7170" width="3.84375" style="8" customWidth="1"/>
    <col min="7171" max="7171" width="17.07421875" style="8" customWidth="1"/>
    <col min="7172" max="7172" width="16.15234375" style="8" customWidth="1"/>
    <col min="7173" max="7173" width="23.15234375" style="8" customWidth="1"/>
    <col min="7174" max="7174" width="29.84375" style="8" bestFit="1" customWidth="1"/>
    <col min="7175" max="7175" width="16.07421875" style="8" customWidth="1"/>
    <col min="7176" max="7176" width="16.53515625" style="8" customWidth="1"/>
    <col min="7177" max="7177" width="16.4609375" style="8" customWidth="1"/>
    <col min="7178" max="7178" width="36.84375" style="8" customWidth="1"/>
    <col min="7179" max="7179" width="8.84375" style="8"/>
    <col min="7180" max="7180" width="2" style="8" customWidth="1"/>
    <col min="7181" max="7424" width="8.84375" style="8"/>
    <col min="7425" max="7425" width="1.4609375" style="8" customWidth="1"/>
    <col min="7426" max="7426" width="3.84375" style="8" customWidth="1"/>
    <col min="7427" max="7427" width="17.07421875" style="8" customWidth="1"/>
    <col min="7428" max="7428" width="16.15234375" style="8" customWidth="1"/>
    <col min="7429" max="7429" width="23.15234375" style="8" customWidth="1"/>
    <col min="7430" max="7430" width="29.84375" style="8" bestFit="1" customWidth="1"/>
    <col min="7431" max="7431" width="16.07421875" style="8" customWidth="1"/>
    <col min="7432" max="7432" width="16.53515625" style="8" customWidth="1"/>
    <col min="7433" max="7433" width="16.4609375" style="8" customWidth="1"/>
    <col min="7434" max="7434" width="36.84375" style="8" customWidth="1"/>
    <col min="7435" max="7435" width="8.84375" style="8"/>
    <col min="7436" max="7436" width="2" style="8" customWidth="1"/>
    <col min="7437" max="7680" width="8.84375" style="8"/>
    <col min="7681" max="7681" width="1.4609375" style="8" customWidth="1"/>
    <col min="7682" max="7682" width="3.84375" style="8" customWidth="1"/>
    <col min="7683" max="7683" width="17.07421875" style="8" customWidth="1"/>
    <col min="7684" max="7684" width="16.15234375" style="8" customWidth="1"/>
    <col min="7685" max="7685" width="23.15234375" style="8" customWidth="1"/>
    <col min="7686" max="7686" width="29.84375" style="8" bestFit="1" customWidth="1"/>
    <col min="7687" max="7687" width="16.07421875" style="8" customWidth="1"/>
    <col min="7688" max="7688" width="16.53515625" style="8" customWidth="1"/>
    <col min="7689" max="7689" width="16.4609375" style="8" customWidth="1"/>
    <col min="7690" max="7690" width="36.84375" style="8" customWidth="1"/>
    <col min="7691" max="7691" width="8.84375" style="8"/>
    <col min="7692" max="7692" width="2" style="8" customWidth="1"/>
    <col min="7693" max="7936" width="8.84375" style="8"/>
    <col min="7937" max="7937" width="1.4609375" style="8" customWidth="1"/>
    <col min="7938" max="7938" width="3.84375" style="8" customWidth="1"/>
    <col min="7939" max="7939" width="17.07421875" style="8" customWidth="1"/>
    <col min="7940" max="7940" width="16.15234375" style="8" customWidth="1"/>
    <col min="7941" max="7941" width="23.15234375" style="8" customWidth="1"/>
    <col min="7942" max="7942" width="29.84375" style="8" bestFit="1" customWidth="1"/>
    <col min="7943" max="7943" width="16.07421875" style="8" customWidth="1"/>
    <col min="7944" max="7944" width="16.53515625" style="8" customWidth="1"/>
    <col min="7945" max="7945" width="16.4609375" style="8" customWidth="1"/>
    <col min="7946" max="7946" width="36.84375" style="8" customWidth="1"/>
    <col min="7947" max="7947" width="8.84375" style="8"/>
    <col min="7948" max="7948" width="2" style="8" customWidth="1"/>
    <col min="7949" max="8192" width="8.84375" style="8"/>
    <col min="8193" max="8193" width="1.4609375" style="8" customWidth="1"/>
    <col min="8194" max="8194" width="3.84375" style="8" customWidth="1"/>
    <col min="8195" max="8195" width="17.07421875" style="8" customWidth="1"/>
    <col min="8196" max="8196" width="16.15234375" style="8" customWidth="1"/>
    <col min="8197" max="8197" width="23.15234375" style="8" customWidth="1"/>
    <col min="8198" max="8198" width="29.84375" style="8" bestFit="1" customWidth="1"/>
    <col min="8199" max="8199" width="16.07421875" style="8" customWidth="1"/>
    <col min="8200" max="8200" width="16.53515625" style="8" customWidth="1"/>
    <col min="8201" max="8201" width="16.4609375" style="8" customWidth="1"/>
    <col min="8202" max="8202" width="36.84375" style="8" customWidth="1"/>
    <col min="8203" max="8203" width="8.84375" style="8"/>
    <col min="8204" max="8204" width="2" style="8" customWidth="1"/>
    <col min="8205" max="8448" width="8.84375" style="8"/>
    <col min="8449" max="8449" width="1.4609375" style="8" customWidth="1"/>
    <col min="8450" max="8450" width="3.84375" style="8" customWidth="1"/>
    <col min="8451" max="8451" width="17.07421875" style="8" customWidth="1"/>
    <col min="8452" max="8452" width="16.15234375" style="8" customWidth="1"/>
    <col min="8453" max="8453" width="23.15234375" style="8" customWidth="1"/>
    <col min="8454" max="8454" width="29.84375" style="8" bestFit="1" customWidth="1"/>
    <col min="8455" max="8455" width="16.07421875" style="8" customWidth="1"/>
    <col min="8456" max="8456" width="16.53515625" style="8" customWidth="1"/>
    <col min="8457" max="8457" width="16.4609375" style="8" customWidth="1"/>
    <col min="8458" max="8458" width="36.84375" style="8" customWidth="1"/>
    <col min="8459" max="8459" width="8.84375" style="8"/>
    <col min="8460" max="8460" width="2" style="8" customWidth="1"/>
    <col min="8461" max="8704" width="8.84375" style="8"/>
    <col min="8705" max="8705" width="1.4609375" style="8" customWidth="1"/>
    <col min="8706" max="8706" width="3.84375" style="8" customWidth="1"/>
    <col min="8707" max="8707" width="17.07421875" style="8" customWidth="1"/>
    <col min="8708" max="8708" width="16.15234375" style="8" customWidth="1"/>
    <col min="8709" max="8709" width="23.15234375" style="8" customWidth="1"/>
    <col min="8710" max="8710" width="29.84375" style="8" bestFit="1" customWidth="1"/>
    <col min="8711" max="8711" width="16.07421875" style="8" customWidth="1"/>
    <col min="8712" max="8712" width="16.53515625" style="8" customWidth="1"/>
    <col min="8713" max="8713" width="16.4609375" style="8" customWidth="1"/>
    <col min="8714" max="8714" width="36.84375" style="8" customWidth="1"/>
    <col min="8715" max="8715" width="8.84375" style="8"/>
    <col min="8716" max="8716" width="2" style="8" customWidth="1"/>
    <col min="8717" max="8960" width="8.84375" style="8"/>
    <col min="8961" max="8961" width="1.4609375" style="8" customWidth="1"/>
    <col min="8962" max="8962" width="3.84375" style="8" customWidth="1"/>
    <col min="8963" max="8963" width="17.07421875" style="8" customWidth="1"/>
    <col min="8964" max="8964" width="16.15234375" style="8" customWidth="1"/>
    <col min="8965" max="8965" width="23.15234375" style="8" customWidth="1"/>
    <col min="8966" max="8966" width="29.84375" style="8" bestFit="1" customWidth="1"/>
    <col min="8967" max="8967" width="16.07421875" style="8" customWidth="1"/>
    <col min="8968" max="8968" width="16.53515625" style="8" customWidth="1"/>
    <col min="8969" max="8969" width="16.4609375" style="8" customWidth="1"/>
    <col min="8970" max="8970" width="36.84375" style="8" customWidth="1"/>
    <col min="8971" max="8971" width="8.84375" style="8"/>
    <col min="8972" max="8972" width="2" style="8" customWidth="1"/>
    <col min="8973" max="9216" width="8.84375" style="8"/>
    <col min="9217" max="9217" width="1.4609375" style="8" customWidth="1"/>
    <col min="9218" max="9218" width="3.84375" style="8" customWidth="1"/>
    <col min="9219" max="9219" width="17.07421875" style="8" customWidth="1"/>
    <col min="9220" max="9220" width="16.15234375" style="8" customWidth="1"/>
    <col min="9221" max="9221" width="23.15234375" style="8" customWidth="1"/>
    <col min="9222" max="9222" width="29.84375" style="8" bestFit="1" customWidth="1"/>
    <col min="9223" max="9223" width="16.07421875" style="8" customWidth="1"/>
    <col min="9224" max="9224" width="16.53515625" style="8" customWidth="1"/>
    <col min="9225" max="9225" width="16.4609375" style="8" customWidth="1"/>
    <col min="9226" max="9226" width="36.84375" style="8" customWidth="1"/>
    <col min="9227" max="9227" width="8.84375" style="8"/>
    <col min="9228" max="9228" width="2" style="8" customWidth="1"/>
    <col min="9229" max="9472" width="8.84375" style="8"/>
    <col min="9473" max="9473" width="1.4609375" style="8" customWidth="1"/>
    <col min="9474" max="9474" width="3.84375" style="8" customWidth="1"/>
    <col min="9475" max="9475" width="17.07421875" style="8" customWidth="1"/>
    <col min="9476" max="9476" width="16.15234375" style="8" customWidth="1"/>
    <col min="9477" max="9477" width="23.15234375" style="8" customWidth="1"/>
    <col min="9478" max="9478" width="29.84375" style="8" bestFit="1" customWidth="1"/>
    <col min="9479" max="9479" width="16.07421875" style="8" customWidth="1"/>
    <col min="9480" max="9480" width="16.53515625" style="8" customWidth="1"/>
    <col min="9481" max="9481" width="16.4609375" style="8" customWidth="1"/>
    <col min="9482" max="9482" width="36.84375" style="8" customWidth="1"/>
    <col min="9483" max="9483" width="8.84375" style="8"/>
    <col min="9484" max="9484" width="2" style="8" customWidth="1"/>
    <col min="9485" max="9728" width="8.84375" style="8"/>
    <col min="9729" max="9729" width="1.4609375" style="8" customWidth="1"/>
    <col min="9730" max="9730" width="3.84375" style="8" customWidth="1"/>
    <col min="9731" max="9731" width="17.07421875" style="8" customWidth="1"/>
    <col min="9732" max="9732" width="16.15234375" style="8" customWidth="1"/>
    <col min="9733" max="9733" width="23.15234375" style="8" customWidth="1"/>
    <col min="9734" max="9734" width="29.84375" style="8" bestFit="1" customWidth="1"/>
    <col min="9735" max="9735" width="16.07421875" style="8" customWidth="1"/>
    <col min="9736" max="9736" width="16.53515625" style="8" customWidth="1"/>
    <col min="9737" max="9737" width="16.4609375" style="8" customWidth="1"/>
    <col min="9738" max="9738" width="36.84375" style="8" customWidth="1"/>
    <col min="9739" max="9739" width="8.84375" style="8"/>
    <col min="9740" max="9740" width="2" style="8" customWidth="1"/>
    <col min="9741" max="9984" width="8.84375" style="8"/>
    <col min="9985" max="9985" width="1.4609375" style="8" customWidth="1"/>
    <col min="9986" max="9986" width="3.84375" style="8" customWidth="1"/>
    <col min="9987" max="9987" width="17.07421875" style="8" customWidth="1"/>
    <col min="9988" max="9988" width="16.15234375" style="8" customWidth="1"/>
    <col min="9989" max="9989" width="23.15234375" style="8" customWidth="1"/>
    <col min="9990" max="9990" width="29.84375" style="8" bestFit="1" customWidth="1"/>
    <col min="9991" max="9991" width="16.07421875" style="8" customWidth="1"/>
    <col min="9992" max="9992" width="16.53515625" style="8" customWidth="1"/>
    <col min="9993" max="9993" width="16.4609375" style="8" customWidth="1"/>
    <col min="9994" max="9994" width="36.84375" style="8" customWidth="1"/>
    <col min="9995" max="9995" width="8.84375" style="8"/>
    <col min="9996" max="9996" width="2" style="8" customWidth="1"/>
    <col min="9997" max="10240" width="8.84375" style="8"/>
    <col min="10241" max="10241" width="1.4609375" style="8" customWidth="1"/>
    <col min="10242" max="10242" width="3.84375" style="8" customWidth="1"/>
    <col min="10243" max="10243" width="17.07421875" style="8" customWidth="1"/>
    <col min="10244" max="10244" width="16.15234375" style="8" customWidth="1"/>
    <col min="10245" max="10245" width="23.15234375" style="8" customWidth="1"/>
    <col min="10246" max="10246" width="29.84375" style="8" bestFit="1" customWidth="1"/>
    <col min="10247" max="10247" width="16.07421875" style="8" customWidth="1"/>
    <col min="10248" max="10248" width="16.53515625" style="8" customWidth="1"/>
    <col min="10249" max="10249" width="16.4609375" style="8" customWidth="1"/>
    <col min="10250" max="10250" width="36.84375" style="8" customWidth="1"/>
    <col min="10251" max="10251" width="8.84375" style="8"/>
    <col min="10252" max="10252" width="2" style="8" customWidth="1"/>
    <col min="10253" max="10496" width="8.84375" style="8"/>
    <col min="10497" max="10497" width="1.4609375" style="8" customWidth="1"/>
    <col min="10498" max="10498" width="3.84375" style="8" customWidth="1"/>
    <col min="10499" max="10499" width="17.07421875" style="8" customWidth="1"/>
    <col min="10500" max="10500" width="16.15234375" style="8" customWidth="1"/>
    <col min="10501" max="10501" width="23.15234375" style="8" customWidth="1"/>
    <col min="10502" max="10502" width="29.84375" style="8" bestFit="1" customWidth="1"/>
    <col min="10503" max="10503" width="16.07421875" style="8" customWidth="1"/>
    <col min="10504" max="10504" width="16.53515625" style="8" customWidth="1"/>
    <col min="10505" max="10505" width="16.4609375" style="8" customWidth="1"/>
    <col min="10506" max="10506" width="36.84375" style="8" customWidth="1"/>
    <col min="10507" max="10507" width="8.84375" style="8"/>
    <col min="10508" max="10508" width="2" style="8" customWidth="1"/>
    <col min="10509" max="10752" width="8.84375" style="8"/>
    <col min="10753" max="10753" width="1.4609375" style="8" customWidth="1"/>
    <col min="10754" max="10754" width="3.84375" style="8" customWidth="1"/>
    <col min="10755" max="10755" width="17.07421875" style="8" customWidth="1"/>
    <col min="10756" max="10756" width="16.15234375" style="8" customWidth="1"/>
    <col min="10757" max="10757" width="23.15234375" style="8" customWidth="1"/>
    <col min="10758" max="10758" width="29.84375" style="8" bestFit="1" customWidth="1"/>
    <col min="10759" max="10759" width="16.07421875" style="8" customWidth="1"/>
    <col min="10760" max="10760" width="16.53515625" style="8" customWidth="1"/>
    <col min="10761" max="10761" width="16.4609375" style="8" customWidth="1"/>
    <col min="10762" max="10762" width="36.84375" style="8" customWidth="1"/>
    <col min="10763" max="10763" width="8.84375" style="8"/>
    <col min="10764" max="10764" width="2" style="8" customWidth="1"/>
    <col min="10765" max="11008" width="8.84375" style="8"/>
    <col min="11009" max="11009" width="1.4609375" style="8" customWidth="1"/>
    <col min="11010" max="11010" width="3.84375" style="8" customWidth="1"/>
    <col min="11011" max="11011" width="17.07421875" style="8" customWidth="1"/>
    <col min="11012" max="11012" width="16.15234375" style="8" customWidth="1"/>
    <col min="11013" max="11013" width="23.15234375" style="8" customWidth="1"/>
    <col min="11014" max="11014" width="29.84375" style="8" bestFit="1" customWidth="1"/>
    <col min="11015" max="11015" width="16.07421875" style="8" customWidth="1"/>
    <col min="11016" max="11016" width="16.53515625" style="8" customWidth="1"/>
    <col min="11017" max="11017" width="16.4609375" style="8" customWidth="1"/>
    <col min="11018" max="11018" width="36.84375" style="8" customWidth="1"/>
    <col min="11019" max="11019" width="8.84375" style="8"/>
    <col min="11020" max="11020" width="2" style="8" customWidth="1"/>
    <col min="11021" max="11264" width="8.84375" style="8"/>
    <col min="11265" max="11265" width="1.4609375" style="8" customWidth="1"/>
    <col min="11266" max="11266" width="3.84375" style="8" customWidth="1"/>
    <col min="11267" max="11267" width="17.07421875" style="8" customWidth="1"/>
    <col min="11268" max="11268" width="16.15234375" style="8" customWidth="1"/>
    <col min="11269" max="11269" width="23.15234375" style="8" customWidth="1"/>
    <col min="11270" max="11270" width="29.84375" style="8" bestFit="1" customWidth="1"/>
    <col min="11271" max="11271" width="16.07421875" style="8" customWidth="1"/>
    <col min="11272" max="11272" width="16.53515625" style="8" customWidth="1"/>
    <col min="11273" max="11273" width="16.4609375" style="8" customWidth="1"/>
    <col min="11274" max="11274" width="36.84375" style="8" customWidth="1"/>
    <col min="11275" max="11275" width="8.84375" style="8"/>
    <col min="11276" max="11276" width="2" style="8" customWidth="1"/>
    <col min="11277" max="11520" width="8.84375" style="8"/>
    <col min="11521" max="11521" width="1.4609375" style="8" customWidth="1"/>
    <col min="11522" max="11522" width="3.84375" style="8" customWidth="1"/>
    <col min="11523" max="11523" width="17.07421875" style="8" customWidth="1"/>
    <col min="11524" max="11524" width="16.15234375" style="8" customWidth="1"/>
    <col min="11525" max="11525" width="23.15234375" style="8" customWidth="1"/>
    <col min="11526" max="11526" width="29.84375" style="8" bestFit="1" customWidth="1"/>
    <col min="11527" max="11527" width="16.07421875" style="8" customWidth="1"/>
    <col min="11528" max="11528" width="16.53515625" style="8" customWidth="1"/>
    <col min="11529" max="11529" width="16.4609375" style="8" customWidth="1"/>
    <col min="11530" max="11530" width="36.84375" style="8" customWidth="1"/>
    <col min="11531" max="11531" width="8.84375" style="8"/>
    <col min="11532" max="11532" width="2" style="8" customWidth="1"/>
    <col min="11533" max="11776" width="8.84375" style="8"/>
    <col min="11777" max="11777" width="1.4609375" style="8" customWidth="1"/>
    <col min="11778" max="11778" width="3.84375" style="8" customWidth="1"/>
    <col min="11779" max="11779" width="17.07421875" style="8" customWidth="1"/>
    <col min="11780" max="11780" width="16.15234375" style="8" customWidth="1"/>
    <col min="11781" max="11781" width="23.15234375" style="8" customWidth="1"/>
    <col min="11782" max="11782" width="29.84375" style="8" bestFit="1" customWidth="1"/>
    <col min="11783" max="11783" width="16.07421875" style="8" customWidth="1"/>
    <col min="11784" max="11784" width="16.53515625" style="8" customWidth="1"/>
    <col min="11785" max="11785" width="16.4609375" style="8" customWidth="1"/>
    <col min="11786" max="11786" width="36.84375" style="8" customWidth="1"/>
    <col min="11787" max="11787" width="8.84375" style="8"/>
    <col min="11788" max="11788" width="2" style="8" customWidth="1"/>
    <col min="11789" max="12032" width="8.84375" style="8"/>
    <col min="12033" max="12033" width="1.4609375" style="8" customWidth="1"/>
    <col min="12034" max="12034" width="3.84375" style="8" customWidth="1"/>
    <col min="12035" max="12035" width="17.07421875" style="8" customWidth="1"/>
    <col min="12036" max="12036" width="16.15234375" style="8" customWidth="1"/>
    <col min="12037" max="12037" width="23.15234375" style="8" customWidth="1"/>
    <col min="12038" max="12038" width="29.84375" style="8" bestFit="1" customWidth="1"/>
    <col min="12039" max="12039" width="16.07421875" style="8" customWidth="1"/>
    <col min="12040" max="12040" width="16.53515625" style="8" customWidth="1"/>
    <col min="12041" max="12041" width="16.4609375" style="8" customWidth="1"/>
    <col min="12042" max="12042" width="36.84375" style="8" customWidth="1"/>
    <col min="12043" max="12043" width="8.84375" style="8"/>
    <col min="12044" max="12044" width="2" style="8" customWidth="1"/>
    <col min="12045" max="12288" width="8.84375" style="8"/>
    <col min="12289" max="12289" width="1.4609375" style="8" customWidth="1"/>
    <col min="12290" max="12290" width="3.84375" style="8" customWidth="1"/>
    <col min="12291" max="12291" width="17.07421875" style="8" customWidth="1"/>
    <col min="12292" max="12292" width="16.15234375" style="8" customWidth="1"/>
    <col min="12293" max="12293" width="23.15234375" style="8" customWidth="1"/>
    <col min="12294" max="12294" width="29.84375" style="8" bestFit="1" customWidth="1"/>
    <col min="12295" max="12295" width="16.07421875" style="8" customWidth="1"/>
    <col min="12296" max="12296" width="16.53515625" style="8" customWidth="1"/>
    <col min="12297" max="12297" width="16.4609375" style="8" customWidth="1"/>
    <col min="12298" max="12298" width="36.84375" style="8" customWidth="1"/>
    <col min="12299" max="12299" width="8.84375" style="8"/>
    <col min="12300" max="12300" width="2" style="8" customWidth="1"/>
    <col min="12301" max="12544" width="8.84375" style="8"/>
    <col min="12545" max="12545" width="1.4609375" style="8" customWidth="1"/>
    <col min="12546" max="12546" width="3.84375" style="8" customWidth="1"/>
    <col min="12547" max="12547" width="17.07421875" style="8" customWidth="1"/>
    <col min="12548" max="12548" width="16.15234375" style="8" customWidth="1"/>
    <col min="12549" max="12549" width="23.15234375" style="8" customWidth="1"/>
    <col min="12550" max="12550" width="29.84375" style="8" bestFit="1" customWidth="1"/>
    <col min="12551" max="12551" width="16.07421875" style="8" customWidth="1"/>
    <col min="12552" max="12552" width="16.53515625" style="8" customWidth="1"/>
    <col min="12553" max="12553" width="16.4609375" style="8" customWidth="1"/>
    <col min="12554" max="12554" width="36.84375" style="8" customWidth="1"/>
    <col min="12555" max="12555" width="8.84375" style="8"/>
    <col min="12556" max="12556" width="2" style="8" customWidth="1"/>
    <col min="12557" max="12800" width="8.84375" style="8"/>
    <col min="12801" max="12801" width="1.4609375" style="8" customWidth="1"/>
    <col min="12802" max="12802" width="3.84375" style="8" customWidth="1"/>
    <col min="12803" max="12803" width="17.07421875" style="8" customWidth="1"/>
    <col min="12804" max="12804" width="16.15234375" style="8" customWidth="1"/>
    <col min="12805" max="12805" width="23.15234375" style="8" customWidth="1"/>
    <col min="12806" max="12806" width="29.84375" style="8" bestFit="1" customWidth="1"/>
    <col min="12807" max="12807" width="16.07421875" style="8" customWidth="1"/>
    <col min="12808" max="12808" width="16.53515625" style="8" customWidth="1"/>
    <col min="12809" max="12809" width="16.4609375" style="8" customWidth="1"/>
    <col min="12810" max="12810" width="36.84375" style="8" customWidth="1"/>
    <col min="12811" max="12811" width="8.84375" style="8"/>
    <col min="12812" max="12812" width="2" style="8" customWidth="1"/>
    <col min="12813" max="13056" width="8.84375" style="8"/>
    <col min="13057" max="13057" width="1.4609375" style="8" customWidth="1"/>
    <col min="13058" max="13058" width="3.84375" style="8" customWidth="1"/>
    <col min="13059" max="13059" width="17.07421875" style="8" customWidth="1"/>
    <col min="13060" max="13060" width="16.15234375" style="8" customWidth="1"/>
    <col min="13061" max="13061" width="23.15234375" style="8" customWidth="1"/>
    <col min="13062" max="13062" width="29.84375" style="8" bestFit="1" customWidth="1"/>
    <col min="13063" max="13063" width="16.07421875" style="8" customWidth="1"/>
    <col min="13064" max="13064" width="16.53515625" style="8" customWidth="1"/>
    <col min="13065" max="13065" width="16.4609375" style="8" customWidth="1"/>
    <col min="13066" max="13066" width="36.84375" style="8" customWidth="1"/>
    <col min="13067" max="13067" width="8.84375" style="8"/>
    <col min="13068" max="13068" width="2" style="8" customWidth="1"/>
    <col min="13069" max="13312" width="8.84375" style="8"/>
    <col min="13313" max="13313" width="1.4609375" style="8" customWidth="1"/>
    <col min="13314" max="13314" width="3.84375" style="8" customWidth="1"/>
    <col min="13315" max="13315" width="17.07421875" style="8" customWidth="1"/>
    <col min="13316" max="13316" width="16.15234375" style="8" customWidth="1"/>
    <col min="13317" max="13317" width="23.15234375" style="8" customWidth="1"/>
    <col min="13318" max="13318" width="29.84375" style="8" bestFit="1" customWidth="1"/>
    <col min="13319" max="13319" width="16.07421875" style="8" customWidth="1"/>
    <col min="13320" max="13320" width="16.53515625" style="8" customWidth="1"/>
    <col min="13321" max="13321" width="16.4609375" style="8" customWidth="1"/>
    <col min="13322" max="13322" width="36.84375" style="8" customWidth="1"/>
    <col min="13323" max="13323" width="8.84375" style="8"/>
    <col min="13324" max="13324" width="2" style="8" customWidth="1"/>
    <col min="13325" max="13568" width="8.84375" style="8"/>
    <col min="13569" max="13569" width="1.4609375" style="8" customWidth="1"/>
    <col min="13570" max="13570" width="3.84375" style="8" customWidth="1"/>
    <col min="13571" max="13571" width="17.07421875" style="8" customWidth="1"/>
    <col min="13572" max="13572" width="16.15234375" style="8" customWidth="1"/>
    <col min="13573" max="13573" width="23.15234375" style="8" customWidth="1"/>
    <col min="13574" max="13574" width="29.84375" style="8" bestFit="1" customWidth="1"/>
    <col min="13575" max="13575" width="16.07421875" style="8" customWidth="1"/>
    <col min="13576" max="13576" width="16.53515625" style="8" customWidth="1"/>
    <col min="13577" max="13577" width="16.4609375" style="8" customWidth="1"/>
    <col min="13578" max="13578" width="36.84375" style="8" customWidth="1"/>
    <col min="13579" max="13579" width="8.84375" style="8"/>
    <col min="13580" max="13580" width="2" style="8" customWidth="1"/>
    <col min="13581" max="13824" width="8.84375" style="8"/>
    <col min="13825" max="13825" width="1.4609375" style="8" customWidth="1"/>
    <col min="13826" max="13826" width="3.84375" style="8" customWidth="1"/>
    <col min="13827" max="13827" width="17.07421875" style="8" customWidth="1"/>
    <col min="13828" max="13828" width="16.15234375" style="8" customWidth="1"/>
    <col min="13829" max="13829" width="23.15234375" style="8" customWidth="1"/>
    <col min="13830" max="13830" width="29.84375" style="8" bestFit="1" customWidth="1"/>
    <col min="13831" max="13831" width="16.07421875" style="8" customWidth="1"/>
    <col min="13832" max="13832" width="16.53515625" style="8" customWidth="1"/>
    <col min="13833" max="13833" width="16.4609375" style="8" customWidth="1"/>
    <col min="13834" max="13834" width="36.84375" style="8" customWidth="1"/>
    <col min="13835" max="13835" width="8.84375" style="8"/>
    <col min="13836" max="13836" width="2" style="8" customWidth="1"/>
    <col min="13837" max="14080" width="8.84375" style="8"/>
    <col min="14081" max="14081" width="1.4609375" style="8" customWidth="1"/>
    <col min="14082" max="14082" width="3.84375" style="8" customWidth="1"/>
    <col min="14083" max="14083" width="17.07421875" style="8" customWidth="1"/>
    <col min="14084" max="14084" width="16.15234375" style="8" customWidth="1"/>
    <col min="14085" max="14085" width="23.15234375" style="8" customWidth="1"/>
    <col min="14086" max="14086" width="29.84375" style="8" bestFit="1" customWidth="1"/>
    <col min="14087" max="14087" width="16.07421875" style="8" customWidth="1"/>
    <col min="14088" max="14088" width="16.53515625" style="8" customWidth="1"/>
    <col min="14089" max="14089" width="16.4609375" style="8" customWidth="1"/>
    <col min="14090" max="14090" width="36.84375" style="8" customWidth="1"/>
    <col min="14091" max="14091" width="8.84375" style="8"/>
    <col min="14092" max="14092" width="2" style="8" customWidth="1"/>
    <col min="14093" max="14336" width="8.84375" style="8"/>
    <col min="14337" max="14337" width="1.4609375" style="8" customWidth="1"/>
    <col min="14338" max="14338" width="3.84375" style="8" customWidth="1"/>
    <col min="14339" max="14339" width="17.07421875" style="8" customWidth="1"/>
    <col min="14340" max="14340" width="16.15234375" style="8" customWidth="1"/>
    <col min="14341" max="14341" width="23.15234375" style="8" customWidth="1"/>
    <col min="14342" max="14342" width="29.84375" style="8" bestFit="1" customWidth="1"/>
    <col min="14343" max="14343" width="16.07421875" style="8" customWidth="1"/>
    <col min="14344" max="14344" width="16.53515625" style="8" customWidth="1"/>
    <col min="14345" max="14345" width="16.4609375" style="8" customWidth="1"/>
    <col min="14346" max="14346" width="36.84375" style="8" customWidth="1"/>
    <col min="14347" max="14347" width="8.84375" style="8"/>
    <col min="14348" max="14348" width="2" style="8" customWidth="1"/>
    <col min="14349" max="14592" width="8.84375" style="8"/>
    <col min="14593" max="14593" width="1.4609375" style="8" customWidth="1"/>
    <col min="14594" max="14594" width="3.84375" style="8" customWidth="1"/>
    <col min="14595" max="14595" width="17.07421875" style="8" customWidth="1"/>
    <col min="14596" max="14596" width="16.15234375" style="8" customWidth="1"/>
    <col min="14597" max="14597" width="23.15234375" style="8" customWidth="1"/>
    <col min="14598" max="14598" width="29.84375" style="8" bestFit="1" customWidth="1"/>
    <col min="14599" max="14599" width="16.07421875" style="8" customWidth="1"/>
    <col min="14600" max="14600" width="16.53515625" style="8" customWidth="1"/>
    <col min="14601" max="14601" width="16.4609375" style="8" customWidth="1"/>
    <col min="14602" max="14602" width="36.84375" style="8" customWidth="1"/>
    <col min="14603" max="14603" width="8.84375" style="8"/>
    <col min="14604" max="14604" width="2" style="8" customWidth="1"/>
    <col min="14605" max="14848" width="8.84375" style="8"/>
    <col min="14849" max="14849" width="1.4609375" style="8" customWidth="1"/>
    <col min="14850" max="14850" width="3.84375" style="8" customWidth="1"/>
    <col min="14851" max="14851" width="17.07421875" style="8" customWidth="1"/>
    <col min="14852" max="14852" width="16.15234375" style="8" customWidth="1"/>
    <col min="14853" max="14853" width="23.15234375" style="8" customWidth="1"/>
    <col min="14854" max="14854" width="29.84375" style="8" bestFit="1" customWidth="1"/>
    <col min="14855" max="14855" width="16.07421875" style="8" customWidth="1"/>
    <col min="14856" max="14856" width="16.53515625" style="8" customWidth="1"/>
    <col min="14857" max="14857" width="16.4609375" style="8" customWidth="1"/>
    <col min="14858" max="14858" width="36.84375" style="8" customWidth="1"/>
    <col min="14859" max="14859" width="8.84375" style="8"/>
    <col min="14860" max="14860" width="2" style="8" customWidth="1"/>
    <col min="14861" max="15104" width="8.84375" style="8"/>
    <col min="15105" max="15105" width="1.4609375" style="8" customWidth="1"/>
    <col min="15106" max="15106" width="3.84375" style="8" customWidth="1"/>
    <col min="15107" max="15107" width="17.07421875" style="8" customWidth="1"/>
    <col min="15108" max="15108" width="16.15234375" style="8" customWidth="1"/>
    <col min="15109" max="15109" width="23.15234375" style="8" customWidth="1"/>
    <col min="15110" max="15110" width="29.84375" style="8" bestFit="1" customWidth="1"/>
    <col min="15111" max="15111" width="16.07421875" style="8" customWidth="1"/>
    <col min="15112" max="15112" width="16.53515625" style="8" customWidth="1"/>
    <col min="15113" max="15113" width="16.4609375" style="8" customWidth="1"/>
    <col min="15114" max="15114" width="36.84375" style="8" customWidth="1"/>
    <col min="15115" max="15115" width="8.84375" style="8"/>
    <col min="15116" max="15116" width="2" style="8" customWidth="1"/>
    <col min="15117" max="15360" width="8.84375" style="8"/>
    <col min="15361" max="15361" width="1.4609375" style="8" customWidth="1"/>
    <col min="15362" max="15362" width="3.84375" style="8" customWidth="1"/>
    <col min="15363" max="15363" width="17.07421875" style="8" customWidth="1"/>
    <col min="15364" max="15364" width="16.15234375" style="8" customWidth="1"/>
    <col min="15365" max="15365" width="23.15234375" style="8" customWidth="1"/>
    <col min="15366" max="15366" width="29.84375" style="8" bestFit="1" customWidth="1"/>
    <col min="15367" max="15367" width="16.07421875" style="8" customWidth="1"/>
    <col min="15368" max="15368" width="16.53515625" style="8" customWidth="1"/>
    <col min="15369" max="15369" width="16.4609375" style="8" customWidth="1"/>
    <col min="15370" max="15370" width="36.84375" style="8" customWidth="1"/>
    <col min="15371" max="15371" width="8.84375" style="8"/>
    <col min="15372" max="15372" width="2" style="8" customWidth="1"/>
    <col min="15373" max="15616" width="8.84375" style="8"/>
    <col min="15617" max="15617" width="1.4609375" style="8" customWidth="1"/>
    <col min="15618" max="15618" width="3.84375" style="8" customWidth="1"/>
    <col min="15619" max="15619" width="17.07421875" style="8" customWidth="1"/>
    <col min="15620" max="15620" width="16.15234375" style="8" customWidth="1"/>
    <col min="15621" max="15621" width="23.15234375" style="8" customWidth="1"/>
    <col min="15622" max="15622" width="29.84375" style="8" bestFit="1" customWidth="1"/>
    <col min="15623" max="15623" width="16.07421875" style="8" customWidth="1"/>
    <col min="15624" max="15624" width="16.53515625" style="8" customWidth="1"/>
    <col min="15625" max="15625" width="16.4609375" style="8" customWidth="1"/>
    <col min="15626" max="15626" width="36.84375" style="8" customWidth="1"/>
    <col min="15627" max="15627" width="8.84375" style="8"/>
    <col min="15628" max="15628" width="2" style="8" customWidth="1"/>
    <col min="15629" max="15872" width="8.84375" style="8"/>
    <col min="15873" max="15873" width="1.4609375" style="8" customWidth="1"/>
    <col min="15874" max="15874" width="3.84375" style="8" customWidth="1"/>
    <col min="15875" max="15875" width="17.07421875" style="8" customWidth="1"/>
    <col min="15876" max="15876" width="16.15234375" style="8" customWidth="1"/>
    <col min="15877" max="15877" width="23.15234375" style="8" customWidth="1"/>
    <col min="15878" max="15878" width="29.84375" style="8" bestFit="1" customWidth="1"/>
    <col min="15879" max="15879" width="16.07421875" style="8" customWidth="1"/>
    <col min="15880" max="15880" width="16.53515625" style="8" customWidth="1"/>
    <col min="15881" max="15881" width="16.4609375" style="8" customWidth="1"/>
    <col min="15882" max="15882" width="36.84375" style="8" customWidth="1"/>
    <col min="15883" max="15883" width="8.84375" style="8"/>
    <col min="15884" max="15884" width="2" style="8" customWidth="1"/>
    <col min="15885" max="16128" width="8.84375" style="8"/>
    <col min="16129" max="16129" width="1.4609375" style="8" customWidth="1"/>
    <col min="16130" max="16130" width="3.84375" style="8" customWidth="1"/>
    <col min="16131" max="16131" width="17.07421875" style="8" customWidth="1"/>
    <col min="16132" max="16132" width="16.15234375" style="8" customWidth="1"/>
    <col min="16133" max="16133" width="23.15234375" style="8" customWidth="1"/>
    <col min="16134" max="16134" width="29.84375" style="8" bestFit="1" customWidth="1"/>
    <col min="16135" max="16135" width="16.07421875" style="8" customWidth="1"/>
    <col min="16136" max="16136" width="16.53515625" style="8" customWidth="1"/>
    <col min="16137" max="16137" width="16.4609375" style="8" customWidth="1"/>
    <col min="16138" max="16138" width="36.84375" style="8" customWidth="1"/>
    <col min="16139" max="16139" width="8.84375" style="8"/>
    <col min="16140" max="16140" width="2" style="8" customWidth="1"/>
    <col min="16141" max="16384" width="8.84375" style="8"/>
  </cols>
  <sheetData>
    <row r="1" spans="1:16" ht="14.5" thickBot="1" x14ac:dyDescent="0.4"/>
    <row r="2" spans="1:16" ht="14.5" thickBot="1" x14ac:dyDescent="0.4">
      <c r="B2" s="1243" t="s">
        <v>59</v>
      </c>
    </row>
    <row r="5" spans="1:16" ht="14.5" thickBot="1" x14ac:dyDescent="0.4"/>
    <row r="6" spans="1:16" ht="35.15" customHeight="1" thickBot="1" x14ac:dyDescent="0.4">
      <c r="B6" s="466" t="s">
        <v>60</v>
      </c>
      <c r="C6" s="467" t="str">
        <f>'TITLE PAGE'!$D$18</f>
        <v>Cambridge Water</v>
      </c>
      <c r="D6" s="465" t="s">
        <v>2</v>
      </c>
      <c r="E6" s="207">
        <v>3</v>
      </c>
    </row>
    <row r="7" spans="1:16" ht="14.5" thickBot="1" x14ac:dyDescent="0.4">
      <c r="A7" s="9"/>
      <c r="B7" s="5"/>
      <c r="C7" s="5"/>
      <c r="D7" s="5"/>
      <c r="E7" s="4"/>
      <c r="F7" s="5"/>
      <c r="G7" s="10"/>
      <c r="H7" s="10"/>
      <c r="I7" s="6" t="s">
        <v>61</v>
      </c>
      <c r="J7" s="5"/>
      <c r="K7" s="7"/>
      <c r="L7" s="10"/>
      <c r="P7" s="1344" t="s">
        <v>62</v>
      </c>
    </row>
    <row r="8" spans="1:16" ht="58.5" customHeight="1" thickBot="1" x14ac:dyDescent="0.3">
      <c r="A8" s="11"/>
      <c r="B8" s="548" t="s">
        <v>63</v>
      </c>
      <c r="C8" s="7"/>
      <c r="D8" s="7"/>
      <c r="E8" s="7"/>
      <c r="F8" s="7"/>
      <c r="G8" s="7"/>
      <c r="H8" s="7"/>
      <c r="I8" s="7"/>
      <c r="J8" s="7"/>
      <c r="K8" s="7"/>
      <c r="P8" s="1331" t="s">
        <v>64</v>
      </c>
    </row>
    <row r="9" spans="1:16" ht="28.5" thickBot="1" x14ac:dyDescent="0.3">
      <c r="A9" s="12"/>
      <c r="B9" s="533" t="s">
        <v>65</v>
      </c>
      <c r="C9" s="534" t="s">
        <v>66</v>
      </c>
      <c r="D9" s="534" t="s">
        <v>67</v>
      </c>
      <c r="E9" s="534" t="s">
        <v>68</v>
      </c>
      <c r="F9" s="534" t="s">
        <v>69</v>
      </c>
      <c r="G9" s="534" t="s">
        <v>70</v>
      </c>
      <c r="H9" s="534" t="s">
        <v>71</v>
      </c>
      <c r="I9" s="1238" t="s">
        <v>72</v>
      </c>
      <c r="J9" s="534" t="s">
        <v>73</v>
      </c>
      <c r="K9" s="534" t="s">
        <v>74</v>
      </c>
      <c r="L9" s="537" t="s">
        <v>75</v>
      </c>
      <c r="P9" s="1331" t="s">
        <v>76</v>
      </c>
    </row>
    <row r="10" spans="1:16" x14ac:dyDescent="0.25">
      <c r="A10" s="13"/>
      <c r="B10" s="535" t="s">
        <v>77</v>
      </c>
      <c r="C10" s="536" t="s">
        <v>78</v>
      </c>
      <c r="D10" s="536" t="s">
        <v>79</v>
      </c>
      <c r="E10" s="536" t="s">
        <v>79</v>
      </c>
      <c r="F10" s="536" t="s">
        <v>79</v>
      </c>
      <c r="G10" s="1330"/>
      <c r="H10" s="1174">
        <f>SUM(H11:H36)</f>
        <v>77.230000000000018</v>
      </c>
      <c r="I10" s="1174">
        <f>SUM(I11:I36)</f>
        <v>109.28999999999999</v>
      </c>
      <c r="J10" s="538">
        <f>SUM(J11:J36)</f>
        <v>94.109999999999985</v>
      </c>
      <c r="K10" s="539" t="s">
        <v>79</v>
      </c>
      <c r="L10" s="540" t="s">
        <v>79</v>
      </c>
      <c r="P10" s="1331" t="s">
        <v>80</v>
      </c>
    </row>
    <row r="11" spans="1:16" x14ac:dyDescent="0.35">
      <c r="A11" s="2"/>
      <c r="B11" s="25" t="s">
        <v>81</v>
      </c>
      <c r="C11" s="14" t="s">
        <v>82</v>
      </c>
      <c r="D11" s="14" t="s">
        <v>83</v>
      </c>
      <c r="E11" s="15" t="s">
        <v>84</v>
      </c>
      <c r="F11" s="15" t="s">
        <v>64</v>
      </c>
      <c r="G11" s="15" t="s">
        <v>85</v>
      </c>
      <c r="H11" s="283">
        <v>1</v>
      </c>
      <c r="I11" s="283">
        <v>4</v>
      </c>
      <c r="J11" s="283">
        <v>1</v>
      </c>
      <c r="K11" s="15" t="s">
        <v>86</v>
      </c>
      <c r="L11" s="26"/>
      <c r="P11" s="8" t="s">
        <v>87</v>
      </c>
    </row>
    <row r="12" spans="1:16" x14ac:dyDescent="0.35">
      <c r="A12" s="2"/>
      <c r="B12" s="25" t="s">
        <v>88</v>
      </c>
      <c r="C12" s="14" t="s">
        <v>82</v>
      </c>
      <c r="D12" s="14" t="s">
        <v>89</v>
      </c>
      <c r="E12" s="15" t="s">
        <v>90</v>
      </c>
      <c r="F12" s="15" t="s">
        <v>64</v>
      </c>
      <c r="G12" s="15" t="s">
        <v>85</v>
      </c>
      <c r="H12" s="283">
        <v>7.17</v>
      </c>
      <c r="I12" s="284">
        <v>7.17</v>
      </c>
      <c r="J12" s="283">
        <v>9.09</v>
      </c>
      <c r="K12" s="15" t="s">
        <v>91</v>
      </c>
      <c r="L12" s="26"/>
    </row>
    <row r="13" spans="1:16" x14ac:dyDescent="0.35">
      <c r="A13" s="2"/>
      <c r="B13" s="25" t="s">
        <v>92</v>
      </c>
      <c r="C13" s="14" t="s">
        <v>82</v>
      </c>
      <c r="D13" s="14" t="s">
        <v>93</v>
      </c>
      <c r="E13" s="15" t="s">
        <v>94</v>
      </c>
      <c r="F13" s="15" t="s">
        <v>64</v>
      </c>
      <c r="G13" s="15" t="s">
        <v>85</v>
      </c>
      <c r="H13" s="283">
        <v>8.25</v>
      </c>
      <c r="I13" s="284">
        <v>15</v>
      </c>
      <c r="J13" s="283">
        <v>11.34</v>
      </c>
      <c r="K13" s="15" t="s">
        <v>95</v>
      </c>
      <c r="L13" s="26"/>
    </row>
    <row r="14" spans="1:16" x14ac:dyDescent="0.35">
      <c r="A14" s="2"/>
      <c r="B14" s="25" t="s">
        <v>96</v>
      </c>
      <c r="C14" s="14" t="s">
        <v>82</v>
      </c>
      <c r="D14" s="14" t="s">
        <v>97</v>
      </c>
      <c r="E14" s="15" t="s">
        <v>98</v>
      </c>
      <c r="F14" s="15" t="s">
        <v>64</v>
      </c>
      <c r="G14" s="15" t="s">
        <v>85</v>
      </c>
      <c r="H14" s="283">
        <v>3.6</v>
      </c>
      <c r="I14" s="284">
        <v>3.63</v>
      </c>
      <c r="J14" s="283">
        <v>4.5</v>
      </c>
      <c r="K14" s="15" t="s">
        <v>99</v>
      </c>
      <c r="L14" s="26"/>
    </row>
    <row r="15" spans="1:16" x14ac:dyDescent="0.35">
      <c r="A15" s="2"/>
      <c r="B15" s="25" t="s">
        <v>100</v>
      </c>
      <c r="C15" s="14" t="s">
        <v>82</v>
      </c>
      <c r="D15" s="14" t="s">
        <v>101</v>
      </c>
      <c r="E15" s="15" t="s">
        <v>102</v>
      </c>
      <c r="F15" s="15" t="s">
        <v>64</v>
      </c>
      <c r="G15" s="15" t="s">
        <v>85</v>
      </c>
      <c r="H15" s="283">
        <v>2.88</v>
      </c>
      <c r="I15" s="284">
        <v>3.95</v>
      </c>
      <c r="J15" s="283">
        <v>3.41</v>
      </c>
      <c r="K15" s="15" t="s">
        <v>86</v>
      </c>
      <c r="L15" s="26"/>
    </row>
    <row r="16" spans="1:16" x14ac:dyDescent="0.35">
      <c r="A16" s="2"/>
      <c r="B16" s="25" t="s">
        <v>103</v>
      </c>
      <c r="C16" s="14" t="s">
        <v>82</v>
      </c>
      <c r="D16" s="14" t="s">
        <v>104</v>
      </c>
      <c r="E16" s="15" t="s">
        <v>105</v>
      </c>
      <c r="F16" s="15" t="s">
        <v>64</v>
      </c>
      <c r="G16" s="15" t="s">
        <v>85</v>
      </c>
      <c r="H16" s="283">
        <v>0</v>
      </c>
      <c r="I16" s="284">
        <v>0</v>
      </c>
      <c r="J16" s="283">
        <v>1.64</v>
      </c>
      <c r="K16" s="15" t="s">
        <v>86</v>
      </c>
      <c r="L16" s="26"/>
    </row>
    <row r="17" spans="1:12" x14ac:dyDescent="0.35">
      <c r="A17" s="2"/>
      <c r="B17" s="25" t="s">
        <v>103</v>
      </c>
      <c r="C17" s="14" t="s">
        <v>82</v>
      </c>
      <c r="D17" s="14" t="s">
        <v>106</v>
      </c>
      <c r="E17" s="15" t="s">
        <v>105</v>
      </c>
      <c r="F17" s="15" t="s">
        <v>64</v>
      </c>
      <c r="G17" s="15" t="s">
        <v>85</v>
      </c>
      <c r="H17" s="283">
        <v>4.5599999999999996</v>
      </c>
      <c r="I17" s="284">
        <v>5.68</v>
      </c>
      <c r="J17" s="283">
        <v>4.5599999999999996</v>
      </c>
      <c r="K17" s="15" t="s">
        <v>86</v>
      </c>
      <c r="L17" s="26"/>
    </row>
    <row r="18" spans="1:12" x14ac:dyDescent="0.35">
      <c r="A18" s="2"/>
      <c r="B18" s="25" t="s">
        <v>107</v>
      </c>
      <c r="C18" s="14" t="s">
        <v>82</v>
      </c>
      <c r="D18" s="14" t="s">
        <v>108</v>
      </c>
      <c r="E18" s="15" t="s">
        <v>109</v>
      </c>
      <c r="F18" s="15" t="s">
        <v>64</v>
      </c>
      <c r="G18" s="15" t="s">
        <v>85</v>
      </c>
      <c r="H18" s="283">
        <v>8</v>
      </c>
      <c r="I18" s="284">
        <v>10</v>
      </c>
      <c r="J18" s="283">
        <v>8</v>
      </c>
      <c r="K18" s="15" t="s">
        <v>86</v>
      </c>
      <c r="L18" s="26"/>
    </row>
    <row r="19" spans="1:12" x14ac:dyDescent="0.35">
      <c r="A19" s="2"/>
      <c r="B19" s="25" t="s">
        <v>110</v>
      </c>
      <c r="C19" s="14" t="s">
        <v>82</v>
      </c>
      <c r="D19" s="14" t="s">
        <v>111</v>
      </c>
      <c r="E19" s="15" t="s">
        <v>112</v>
      </c>
      <c r="F19" s="15" t="s">
        <v>64</v>
      </c>
      <c r="G19" s="15" t="s">
        <v>85</v>
      </c>
      <c r="H19" s="283">
        <v>3.6</v>
      </c>
      <c r="I19" s="284">
        <v>5.4</v>
      </c>
      <c r="J19" s="283">
        <v>3.6</v>
      </c>
      <c r="K19" s="15" t="s">
        <v>86</v>
      </c>
      <c r="L19" s="26"/>
    </row>
    <row r="20" spans="1:12" x14ac:dyDescent="0.35">
      <c r="A20" s="2"/>
      <c r="B20" s="25" t="s">
        <v>113</v>
      </c>
      <c r="C20" s="14" t="s">
        <v>82</v>
      </c>
      <c r="D20" s="14" t="s">
        <v>114</v>
      </c>
      <c r="E20" s="15" t="s">
        <v>115</v>
      </c>
      <c r="F20" s="15" t="s">
        <v>64</v>
      </c>
      <c r="G20" s="15" t="s">
        <v>85</v>
      </c>
      <c r="H20" s="283">
        <v>1.06</v>
      </c>
      <c r="I20" s="284">
        <v>1.06</v>
      </c>
      <c r="J20" s="283">
        <v>1.1499999999999999</v>
      </c>
      <c r="K20" s="15" t="s">
        <v>99</v>
      </c>
      <c r="L20" s="26"/>
    </row>
    <row r="21" spans="1:12" x14ac:dyDescent="0.35">
      <c r="A21" s="2"/>
      <c r="B21" s="25" t="s">
        <v>116</v>
      </c>
      <c r="C21" s="14" t="s">
        <v>82</v>
      </c>
      <c r="D21" s="14" t="s">
        <v>117</v>
      </c>
      <c r="E21" s="15" t="s">
        <v>118</v>
      </c>
      <c r="F21" s="15" t="s">
        <v>64</v>
      </c>
      <c r="G21" s="15" t="s">
        <v>85</v>
      </c>
      <c r="H21" s="283">
        <v>5.67</v>
      </c>
      <c r="I21" s="284">
        <v>9.09</v>
      </c>
      <c r="J21" s="283">
        <v>5.67</v>
      </c>
      <c r="K21" s="15" t="s">
        <v>86</v>
      </c>
      <c r="L21" s="26"/>
    </row>
    <row r="22" spans="1:12" x14ac:dyDescent="0.35">
      <c r="A22" s="2"/>
      <c r="B22" s="25" t="s">
        <v>119</v>
      </c>
      <c r="C22" s="14" t="s">
        <v>82</v>
      </c>
      <c r="D22" s="14" t="s">
        <v>120</v>
      </c>
      <c r="E22" s="15" t="s">
        <v>121</v>
      </c>
      <c r="F22" s="15" t="s">
        <v>64</v>
      </c>
      <c r="G22" s="15" t="s">
        <v>85</v>
      </c>
      <c r="H22" s="283">
        <v>1.1299999999999999</v>
      </c>
      <c r="I22" s="284">
        <v>2.13</v>
      </c>
      <c r="J22" s="283">
        <v>1.1299999999999999</v>
      </c>
      <c r="K22" s="15" t="s">
        <v>86</v>
      </c>
      <c r="L22" s="26"/>
    </row>
    <row r="23" spans="1:12" x14ac:dyDescent="0.35">
      <c r="A23" s="2"/>
      <c r="B23" s="25" t="s">
        <v>122</v>
      </c>
      <c r="C23" s="14" t="s">
        <v>82</v>
      </c>
      <c r="D23" s="14" t="s">
        <v>123</v>
      </c>
      <c r="E23" s="15" t="s">
        <v>124</v>
      </c>
      <c r="F23" s="15" t="s">
        <v>64</v>
      </c>
      <c r="G23" s="15" t="s">
        <v>85</v>
      </c>
      <c r="H23" s="283">
        <v>1.7</v>
      </c>
      <c r="I23" s="284">
        <v>2.88</v>
      </c>
      <c r="J23" s="283">
        <v>2.2999999999999998</v>
      </c>
      <c r="K23" s="15" t="s">
        <v>125</v>
      </c>
      <c r="L23" s="26"/>
    </row>
    <row r="24" spans="1:12" x14ac:dyDescent="0.35">
      <c r="A24" s="2"/>
      <c r="B24" s="25" t="s">
        <v>126</v>
      </c>
      <c r="C24" s="14" t="s">
        <v>82</v>
      </c>
      <c r="D24" s="14" t="s">
        <v>127</v>
      </c>
      <c r="E24" s="15" t="s">
        <v>128</v>
      </c>
      <c r="F24" s="15" t="s">
        <v>64</v>
      </c>
      <c r="G24" s="15" t="s">
        <v>85</v>
      </c>
      <c r="H24" s="283">
        <v>0</v>
      </c>
      <c r="I24" s="284">
        <v>0</v>
      </c>
      <c r="J24" s="283">
        <v>1.93</v>
      </c>
      <c r="K24" s="15" t="s">
        <v>125</v>
      </c>
      <c r="L24" s="26"/>
    </row>
    <row r="25" spans="1:12" x14ac:dyDescent="0.35">
      <c r="A25" s="2"/>
      <c r="B25" s="1366" t="s">
        <v>129</v>
      </c>
      <c r="C25" s="14" t="s">
        <v>82</v>
      </c>
      <c r="D25" s="14" t="s">
        <v>130</v>
      </c>
      <c r="E25" s="15" t="s">
        <v>131</v>
      </c>
      <c r="F25" s="15" t="s">
        <v>64</v>
      </c>
      <c r="G25" s="15" t="s">
        <v>85</v>
      </c>
      <c r="H25" s="283">
        <v>3.4</v>
      </c>
      <c r="I25" s="284">
        <v>4.2699999999999996</v>
      </c>
      <c r="J25" s="283">
        <v>3.41</v>
      </c>
      <c r="K25" s="15" t="s">
        <v>125</v>
      </c>
      <c r="L25" s="26"/>
    </row>
    <row r="26" spans="1:12" x14ac:dyDescent="0.35">
      <c r="A26" s="2"/>
      <c r="B26" s="1366" t="s">
        <v>132</v>
      </c>
      <c r="C26" s="14" t="s">
        <v>82</v>
      </c>
      <c r="D26" s="14" t="s">
        <v>133</v>
      </c>
      <c r="E26" s="15" t="s">
        <v>134</v>
      </c>
      <c r="F26" s="15" t="s">
        <v>64</v>
      </c>
      <c r="G26" s="15" t="s">
        <v>85</v>
      </c>
      <c r="H26" s="283">
        <v>7.2</v>
      </c>
      <c r="I26" s="284">
        <v>9.15</v>
      </c>
      <c r="J26" s="283">
        <v>7.94</v>
      </c>
      <c r="K26" s="15" t="s">
        <v>99</v>
      </c>
      <c r="L26" s="26"/>
    </row>
    <row r="27" spans="1:12" x14ac:dyDescent="0.35">
      <c r="A27" s="2"/>
      <c r="B27" s="1366" t="s">
        <v>135</v>
      </c>
      <c r="C27" s="14" t="s">
        <v>82</v>
      </c>
      <c r="D27" s="14" t="s">
        <v>136</v>
      </c>
      <c r="E27" s="15" t="s">
        <v>137</v>
      </c>
      <c r="F27" s="15" t="s">
        <v>64</v>
      </c>
      <c r="G27" s="15" t="s">
        <v>85</v>
      </c>
      <c r="H27" s="283">
        <v>1.2</v>
      </c>
      <c r="I27" s="284">
        <v>1.5</v>
      </c>
      <c r="J27" s="283">
        <v>2.27</v>
      </c>
      <c r="K27" s="15" t="s">
        <v>99</v>
      </c>
      <c r="L27" s="26"/>
    </row>
    <row r="28" spans="1:12" x14ac:dyDescent="0.35">
      <c r="A28" s="2"/>
      <c r="B28" s="1366" t="s">
        <v>138</v>
      </c>
      <c r="C28" s="14" t="s">
        <v>82</v>
      </c>
      <c r="D28" s="14" t="s">
        <v>139</v>
      </c>
      <c r="E28" s="15" t="s">
        <v>140</v>
      </c>
      <c r="F28" s="15" t="s">
        <v>64</v>
      </c>
      <c r="G28" s="15" t="s">
        <v>85</v>
      </c>
      <c r="H28" s="283">
        <v>1</v>
      </c>
      <c r="I28" s="284">
        <v>1</v>
      </c>
      <c r="J28" s="283">
        <v>2.2000000000000002</v>
      </c>
      <c r="K28" s="15" t="s">
        <v>125</v>
      </c>
      <c r="L28" s="26"/>
    </row>
    <row r="29" spans="1:12" x14ac:dyDescent="0.35">
      <c r="A29" s="2"/>
      <c r="B29" s="1366" t="s">
        <v>141</v>
      </c>
      <c r="C29" s="14" t="s">
        <v>82</v>
      </c>
      <c r="D29" s="14" t="s">
        <v>142</v>
      </c>
      <c r="E29" s="15" t="s">
        <v>143</v>
      </c>
      <c r="F29" s="15" t="s">
        <v>64</v>
      </c>
      <c r="G29" s="15" t="s">
        <v>85</v>
      </c>
      <c r="H29" s="283">
        <v>1.49</v>
      </c>
      <c r="I29" s="284">
        <v>2.16</v>
      </c>
      <c r="J29" s="283">
        <v>1.49</v>
      </c>
      <c r="K29" s="15" t="s">
        <v>86</v>
      </c>
      <c r="L29" s="26"/>
    </row>
    <row r="30" spans="1:12" x14ac:dyDescent="0.35">
      <c r="A30" s="2"/>
      <c r="B30" s="1366" t="s">
        <v>141</v>
      </c>
      <c r="C30" s="14" t="s">
        <v>82</v>
      </c>
      <c r="D30" s="14" t="s">
        <v>144</v>
      </c>
      <c r="E30" s="15" t="s">
        <v>145</v>
      </c>
      <c r="F30" s="15" t="s">
        <v>64</v>
      </c>
      <c r="G30" s="15" t="s">
        <v>85</v>
      </c>
      <c r="H30" s="283">
        <v>0</v>
      </c>
      <c r="I30" s="284">
        <v>2.16</v>
      </c>
      <c r="J30" s="283">
        <v>1.49</v>
      </c>
      <c r="K30" s="15" t="s">
        <v>86</v>
      </c>
      <c r="L30" s="26"/>
    </row>
    <row r="31" spans="1:12" x14ac:dyDescent="0.35">
      <c r="A31" s="2"/>
      <c r="B31" s="1366" t="s">
        <v>146</v>
      </c>
      <c r="C31" s="14" t="s">
        <v>82</v>
      </c>
      <c r="D31" s="14" t="s">
        <v>147</v>
      </c>
      <c r="E31" s="15" t="s">
        <v>148</v>
      </c>
      <c r="F31" s="15" t="s">
        <v>64</v>
      </c>
      <c r="G31" s="15" t="s">
        <v>85</v>
      </c>
      <c r="H31" s="283">
        <v>10.6</v>
      </c>
      <c r="I31" s="284">
        <v>11.39</v>
      </c>
      <c r="J31" s="283">
        <v>11.39</v>
      </c>
      <c r="K31" s="15" t="s">
        <v>149</v>
      </c>
      <c r="L31" s="26"/>
    </row>
    <row r="32" spans="1:12" x14ac:dyDescent="0.35">
      <c r="A32" s="2"/>
      <c r="B32" s="1366" t="s">
        <v>150</v>
      </c>
      <c r="C32" s="14" t="s">
        <v>82</v>
      </c>
      <c r="D32" s="14" t="s">
        <v>151</v>
      </c>
      <c r="E32" s="15" t="s">
        <v>152</v>
      </c>
      <c r="F32" s="15" t="s">
        <v>64</v>
      </c>
      <c r="G32" s="15" t="s">
        <v>85</v>
      </c>
      <c r="H32" s="283">
        <v>1.5</v>
      </c>
      <c r="I32" s="284">
        <v>4.5</v>
      </c>
      <c r="J32" s="283">
        <v>1.62</v>
      </c>
      <c r="K32" s="15" t="s">
        <v>86</v>
      </c>
      <c r="L32" s="26"/>
    </row>
    <row r="33" spans="1:13" x14ac:dyDescent="0.35">
      <c r="A33" s="2"/>
      <c r="B33" s="25" t="s">
        <v>153</v>
      </c>
      <c r="C33" s="14" t="s">
        <v>82</v>
      </c>
      <c r="D33" s="14" t="s">
        <v>154</v>
      </c>
      <c r="E33" s="15" t="s">
        <v>155</v>
      </c>
      <c r="F33" s="15" t="s">
        <v>64</v>
      </c>
      <c r="G33" s="15" t="s">
        <v>85</v>
      </c>
      <c r="H33" s="283">
        <v>1.3</v>
      </c>
      <c r="I33" s="284">
        <v>1.99</v>
      </c>
      <c r="J33" s="283">
        <v>1.99</v>
      </c>
      <c r="K33" s="15" t="s">
        <v>156</v>
      </c>
      <c r="L33" s="26"/>
    </row>
    <row r="34" spans="1:13" x14ac:dyDescent="0.35">
      <c r="A34" s="2"/>
      <c r="B34" s="25" t="s">
        <v>157</v>
      </c>
      <c r="C34" s="14" t="s">
        <v>82</v>
      </c>
      <c r="D34" s="14" t="s">
        <v>158</v>
      </c>
      <c r="E34" s="15" t="s">
        <v>159</v>
      </c>
      <c r="F34" s="15" t="s">
        <v>64</v>
      </c>
      <c r="G34" s="15" t="s">
        <v>85</v>
      </c>
      <c r="H34" s="283">
        <v>0.92</v>
      </c>
      <c r="I34" s="284">
        <v>1.18</v>
      </c>
      <c r="J34" s="283">
        <v>0.99</v>
      </c>
      <c r="K34" s="15" t="s">
        <v>156</v>
      </c>
      <c r="L34" s="26"/>
    </row>
    <row r="35" spans="1:13" x14ac:dyDescent="0.35">
      <c r="A35" s="2"/>
      <c r="B35" s="1366"/>
      <c r="C35" s="14"/>
      <c r="D35" s="14"/>
      <c r="E35" s="15"/>
      <c r="F35" s="15"/>
      <c r="G35" s="15"/>
      <c r="H35" s="283"/>
      <c r="I35" s="284"/>
      <c r="J35" s="283"/>
      <c r="K35" s="15"/>
      <c r="L35" s="26"/>
    </row>
    <row r="36" spans="1:13" x14ac:dyDescent="0.35">
      <c r="A36" s="2"/>
      <c r="B36" s="27" t="s">
        <v>79</v>
      </c>
      <c r="C36" s="28"/>
      <c r="D36" s="28"/>
      <c r="E36" s="29"/>
      <c r="F36" s="15"/>
      <c r="G36" s="29"/>
      <c r="H36" s="284"/>
      <c r="I36" s="284"/>
      <c r="J36" s="284"/>
      <c r="K36" s="29"/>
      <c r="L36" s="30"/>
    </row>
    <row r="37" spans="1:13" x14ac:dyDescent="0.35">
      <c r="A37" s="2"/>
      <c r="B37" s="66"/>
      <c r="C37" s="36"/>
      <c r="D37" s="36"/>
      <c r="E37" s="24"/>
      <c r="F37" s="24"/>
      <c r="G37" s="24"/>
      <c r="H37" s="1191"/>
      <c r="I37" s="1191"/>
      <c r="J37" s="1191"/>
      <c r="K37" s="24"/>
      <c r="L37" s="67"/>
    </row>
    <row r="38" spans="1:13" ht="14.5" thickBot="1" x14ac:dyDescent="0.4">
      <c r="A38" s="2"/>
      <c r="B38" s="66"/>
      <c r="C38" s="36"/>
      <c r="D38" s="36"/>
      <c r="E38" s="24"/>
      <c r="F38" s="24"/>
      <c r="G38" s="24"/>
      <c r="H38" s="45"/>
      <c r="I38" s="45"/>
      <c r="J38" s="24"/>
      <c r="K38" s="67"/>
    </row>
    <row r="39" spans="1:13" ht="42.5" thickBot="1" x14ac:dyDescent="0.4">
      <c r="A39" s="2"/>
      <c r="B39" s="549" t="s">
        <v>160</v>
      </c>
      <c r="C39" s="31"/>
      <c r="D39" s="31"/>
      <c r="E39" s="32"/>
      <c r="F39" s="32"/>
      <c r="G39" s="32"/>
      <c r="H39" s="33"/>
      <c r="I39" s="33"/>
      <c r="J39" s="32"/>
      <c r="K39" s="34"/>
    </row>
    <row r="40" spans="1:13" ht="28.5" thickBot="1" x14ac:dyDescent="0.4">
      <c r="A40" s="16"/>
      <c r="B40" s="533" t="s">
        <v>65</v>
      </c>
      <c r="C40" s="534" t="s">
        <v>66</v>
      </c>
      <c r="D40" s="534" t="s">
        <v>67</v>
      </c>
      <c r="E40" s="534" t="s">
        <v>68</v>
      </c>
      <c r="F40" s="534" t="s">
        <v>69</v>
      </c>
      <c r="G40" s="534" t="s">
        <v>70</v>
      </c>
      <c r="H40" s="534" t="s">
        <v>71</v>
      </c>
      <c r="I40" s="534" t="s">
        <v>72</v>
      </c>
      <c r="J40" s="534" t="s">
        <v>73</v>
      </c>
      <c r="K40" s="534" t="s">
        <v>74</v>
      </c>
      <c r="L40" s="543" t="s">
        <v>75</v>
      </c>
    </row>
    <row r="41" spans="1:13" x14ac:dyDescent="0.35">
      <c r="A41" s="16"/>
      <c r="B41" s="541" t="s">
        <v>161</v>
      </c>
      <c r="C41" s="539" t="s">
        <v>162</v>
      </c>
      <c r="D41" s="536" t="s">
        <v>79</v>
      </c>
      <c r="E41" s="542" t="s">
        <v>163</v>
      </c>
      <c r="F41" s="536" t="s">
        <v>79</v>
      </c>
      <c r="G41" s="1330"/>
      <c r="H41" s="285">
        <f>SUM(H43:H47)</f>
        <v>25.509999999999998</v>
      </c>
      <c r="I41" s="285">
        <f>SUM(I43:I47)</f>
        <v>28.81</v>
      </c>
      <c r="J41" s="544" t="s">
        <v>79</v>
      </c>
      <c r="K41" s="539" t="s">
        <v>79</v>
      </c>
      <c r="L41" s="540" t="s">
        <v>79</v>
      </c>
    </row>
    <row r="42" spans="1:13" x14ac:dyDescent="0.35">
      <c r="A42" s="2"/>
      <c r="B42" s="25" t="s">
        <v>79</v>
      </c>
      <c r="C42" s="14" t="s">
        <v>79</v>
      </c>
      <c r="D42" s="17" t="s">
        <v>164</v>
      </c>
      <c r="E42" s="17" t="s">
        <v>165</v>
      </c>
      <c r="F42" s="1212" t="s">
        <v>79</v>
      </c>
      <c r="G42" s="15"/>
      <c r="H42" s="283">
        <f>SUM(H43:H47)</f>
        <v>25.509999999999998</v>
      </c>
      <c r="I42" s="283">
        <f>SUM(I43:I47)</f>
        <v>28.81</v>
      </c>
      <c r="J42" s="389" t="s">
        <v>79</v>
      </c>
      <c r="K42" s="3" t="s">
        <v>79</v>
      </c>
      <c r="L42" s="41" t="s">
        <v>79</v>
      </c>
    </row>
    <row r="43" spans="1:13" ht="28" x14ac:dyDescent="0.35">
      <c r="A43" s="2"/>
      <c r="B43" s="25" t="s">
        <v>166</v>
      </c>
      <c r="C43" s="14" t="s">
        <v>82</v>
      </c>
      <c r="D43" s="18" t="s">
        <v>167</v>
      </c>
      <c r="E43" s="19" t="s">
        <v>168</v>
      </c>
      <c r="F43" s="15" t="s">
        <v>64</v>
      </c>
      <c r="G43" s="29" t="s">
        <v>85</v>
      </c>
      <c r="H43" s="286">
        <v>4.17</v>
      </c>
      <c r="I43" s="286">
        <v>4.72</v>
      </c>
      <c r="J43" s="287">
        <v>4.72</v>
      </c>
      <c r="K43" s="15" t="s">
        <v>99</v>
      </c>
      <c r="L43" s="42"/>
    </row>
    <row r="44" spans="1:13" x14ac:dyDescent="0.35">
      <c r="A44" s="2"/>
      <c r="B44" s="25" t="s">
        <v>169</v>
      </c>
      <c r="C44" s="14" t="s">
        <v>82</v>
      </c>
      <c r="D44" s="18" t="s">
        <v>170</v>
      </c>
      <c r="E44" s="18" t="s">
        <v>171</v>
      </c>
      <c r="F44" s="15" t="s">
        <v>64</v>
      </c>
      <c r="G44" s="29" t="s">
        <v>85</v>
      </c>
      <c r="H44" s="286">
        <v>5.77</v>
      </c>
      <c r="I44" s="286">
        <v>6.82</v>
      </c>
      <c r="J44" s="287">
        <v>5.77</v>
      </c>
      <c r="K44" s="15" t="s">
        <v>86</v>
      </c>
      <c r="L44" s="42"/>
    </row>
    <row r="45" spans="1:13" x14ac:dyDescent="0.35">
      <c r="A45" s="2"/>
      <c r="B45" s="25" t="s">
        <v>172</v>
      </c>
      <c r="C45" s="14" t="s">
        <v>82</v>
      </c>
      <c r="D45" s="18" t="s">
        <v>173</v>
      </c>
      <c r="E45" s="18" t="s">
        <v>174</v>
      </c>
      <c r="F45" s="15" t="s">
        <v>64</v>
      </c>
      <c r="G45" s="29" t="s">
        <v>85</v>
      </c>
      <c r="H45" s="286">
        <v>15.57</v>
      </c>
      <c r="I45" s="286">
        <v>17.27</v>
      </c>
      <c r="J45" s="287">
        <v>15.97</v>
      </c>
      <c r="K45" s="15" t="s">
        <v>99</v>
      </c>
      <c r="L45" s="42"/>
    </row>
    <row r="46" spans="1:13" x14ac:dyDescent="0.35">
      <c r="A46" s="2"/>
      <c r="B46" s="25" t="s">
        <v>79</v>
      </c>
      <c r="C46" s="14"/>
      <c r="D46" s="18"/>
      <c r="E46" s="18"/>
      <c r="F46" s="15"/>
      <c r="G46" s="29"/>
      <c r="H46" s="286"/>
      <c r="I46" s="286"/>
      <c r="J46" s="287"/>
      <c r="K46" s="15"/>
      <c r="L46" s="42"/>
    </row>
    <row r="47" spans="1:13" x14ac:dyDescent="0.35">
      <c r="A47" s="2"/>
      <c r="B47" s="27" t="s">
        <v>79</v>
      </c>
      <c r="C47" s="28"/>
      <c r="D47" s="43"/>
      <c r="E47" s="43"/>
      <c r="F47" s="15"/>
      <c r="G47" s="29"/>
      <c r="H47" s="288"/>
      <c r="I47" s="288"/>
      <c r="J47" s="289"/>
      <c r="K47" s="29"/>
      <c r="L47" s="44"/>
      <c r="M47" s="10"/>
    </row>
    <row r="48" spans="1:13" x14ac:dyDescent="0.35">
      <c r="A48" s="2"/>
      <c r="B48" s="66"/>
      <c r="C48" s="36"/>
      <c r="D48" s="37"/>
      <c r="E48" s="37"/>
      <c r="F48" s="38"/>
      <c r="G48" s="38"/>
      <c r="H48" s="1193"/>
      <c r="I48" s="1193"/>
      <c r="J48" s="1194"/>
      <c r="K48" s="24"/>
      <c r="L48" s="10"/>
      <c r="M48" s="10"/>
    </row>
    <row r="49" spans="1:13" ht="14.5" thickBot="1" x14ac:dyDescent="0.4">
      <c r="A49" s="2"/>
      <c r="B49" s="66"/>
      <c r="C49" s="36"/>
      <c r="D49" s="37"/>
      <c r="E49" s="37"/>
      <c r="F49" s="38"/>
      <c r="G49" s="38"/>
      <c r="H49" s="39"/>
      <c r="I49" s="40"/>
      <c r="J49" s="24"/>
      <c r="K49" s="10"/>
      <c r="L49" s="10"/>
    </row>
    <row r="50" spans="1:13" ht="42.5" thickBot="1" x14ac:dyDescent="0.4">
      <c r="A50" s="9"/>
      <c r="B50" s="548" t="s">
        <v>175</v>
      </c>
      <c r="C50" s="36"/>
      <c r="D50" s="37"/>
      <c r="E50" s="37"/>
      <c r="F50" s="38"/>
      <c r="G50" s="38"/>
      <c r="H50" s="39"/>
      <c r="I50" s="40"/>
      <c r="J50" s="24"/>
      <c r="K50" s="10"/>
    </row>
    <row r="51" spans="1:13" ht="28.5" thickBot="1" x14ac:dyDescent="0.4">
      <c r="A51" s="20"/>
      <c r="B51" s="545" t="s">
        <v>65</v>
      </c>
      <c r="C51" s="534" t="s">
        <v>66</v>
      </c>
      <c r="D51" s="534" t="s">
        <v>67</v>
      </c>
      <c r="E51" s="534" t="s">
        <v>68</v>
      </c>
      <c r="F51" s="534" t="s">
        <v>69</v>
      </c>
      <c r="G51" s="534" t="s">
        <v>70</v>
      </c>
      <c r="H51" s="534" t="s">
        <v>71</v>
      </c>
      <c r="I51" s="1238" t="s">
        <v>72</v>
      </c>
      <c r="J51" s="534" t="s">
        <v>73</v>
      </c>
      <c r="K51" s="534" t="s">
        <v>176</v>
      </c>
      <c r="L51" s="537" t="s">
        <v>75</v>
      </c>
    </row>
    <row r="52" spans="1:13" x14ac:dyDescent="0.35">
      <c r="A52" s="2"/>
      <c r="B52" s="541" t="s">
        <v>177</v>
      </c>
      <c r="C52" s="539" t="s">
        <v>178</v>
      </c>
      <c r="D52" s="539" t="s">
        <v>79</v>
      </c>
      <c r="E52" s="539" t="s">
        <v>79</v>
      </c>
      <c r="F52" s="539" t="s">
        <v>79</v>
      </c>
      <c r="G52" s="1330"/>
      <c r="H52" s="282">
        <f>SUM(H53:H56)</f>
        <v>0</v>
      </c>
      <c r="I52" s="282">
        <f t="shared" ref="I52" si="0">SUM(I53:I56)</f>
        <v>0</v>
      </c>
      <c r="J52" s="282">
        <f>SUM(J53:J56)</f>
        <v>1.07</v>
      </c>
      <c r="K52" s="539" t="s">
        <v>79</v>
      </c>
      <c r="L52" s="540" t="s">
        <v>79</v>
      </c>
    </row>
    <row r="53" spans="1:13" x14ac:dyDescent="0.35">
      <c r="A53" s="2"/>
      <c r="B53" s="25" t="s">
        <v>79</v>
      </c>
      <c r="C53" s="14" t="s">
        <v>82</v>
      </c>
      <c r="D53" s="14" t="s">
        <v>179</v>
      </c>
      <c r="E53" s="15" t="s">
        <v>180</v>
      </c>
      <c r="F53" s="15" t="s">
        <v>64</v>
      </c>
      <c r="G53" s="15" t="s">
        <v>85</v>
      </c>
      <c r="H53" s="283">
        <v>0</v>
      </c>
      <c r="I53" s="283">
        <v>0</v>
      </c>
      <c r="J53" s="283">
        <v>0.63</v>
      </c>
      <c r="K53" s="15" t="s">
        <v>181</v>
      </c>
      <c r="L53" s="42"/>
    </row>
    <row r="54" spans="1:13" x14ac:dyDescent="0.35">
      <c r="A54" s="2"/>
      <c r="B54" s="25"/>
      <c r="C54" s="14" t="s">
        <v>82</v>
      </c>
      <c r="D54" s="14" t="s">
        <v>182</v>
      </c>
      <c r="E54" s="15" t="s">
        <v>159</v>
      </c>
      <c r="F54" s="15" t="s">
        <v>64</v>
      </c>
      <c r="G54" s="15" t="s">
        <v>85</v>
      </c>
      <c r="H54" s="283">
        <v>0</v>
      </c>
      <c r="I54" s="284">
        <v>0</v>
      </c>
      <c r="J54" s="283">
        <v>0</v>
      </c>
      <c r="K54" s="15" t="s">
        <v>183</v>
      </c>
      <c r="L54" s="42"/>
    </row>
    <row r="55" spans="1:13" x14ac:dyDescent="0.35">
      <c r="A55" s="2"/>
      <c r="B55" s="25"/>
      <c r="C55" s="14" t="s">
        <v>82</v>
      </c>
      <c r="D55" s="14" t="s">
        <v>184</v>
      </c>
      <c r="E55" s="15" t="s">
        <v>185</v>
      </c>
      <c r="F55" s="15" t="s">
        <v>64</v>
      </c>
      <c r="G55" s="15" t="s">
        <v>85</v>
      </c>
      <c r="H55" s="283">
        <v>0</v>
      </c>
      <c r="I55" s="284">
        <v>0</v>
      </c>
      <c r="J55" s="283">
        <v>0.44</v>
      </c>
      <c r="K55" s="15" t="s">
        <v>186</v>
      </c>
      <c r="L55" s="42"/>
    </row>
    <row r="56" spans="1:13" x14ac:dyDescent="0.35">
      <c r="A56" s="2"/>
      <c r="B56" s="27" t="s">
        <v>79</v>
      </c>
      <c r="C56" s="28"/>
      <c r="D56" s="28"/>
      <c r="E56" s="29"/>
      <c r="F56" s="15"/>
      <c r="G56" s="29"/>
      <c r="H56" s="284"/>
      <c r="I56" s="284"/>
      <c r="J56" s="284"/>
      <c r="K56" s="29"/>
      <c r="L56" s="44"/>
      <c r="M56" s="10"/>
    </row>
    <row r="57" spans="1:13" x14ac:dyDescent="0.35">
      <c r="A57" s="2"/>
      <c r="B57" s="66"/>
      <c r="C57" s="36"/>
      <c r="D57" s="36"/>
      <c r="E57" s="24"/>
      <c r="F57" s="24"/>
      <c r="G57" s="24"/>
      <c r="H57" s="1191"/>
      <c r="I57" s="1191"/>
      <c r="J57" s="1191"/>
      <c r="K57" s="24"/>
      <c r="L57" s="10"/>
      <c r="M57" s="10"/>
    </row>
    <row r="58" spans="1:13" ht="14.5" thickBot="1" x14ac:dyDescent="0.4">
      <c r="A58" s="2"/>
      <c r="B58" s="66"/>
      <c r="C58" s="36"/>
      <c r="D58" s="36"/>
      <c r="E58" s="24"/>
      <c r="F58" s="24"/>
      <c r="G58" s="24"/>
      <c r="H58" s="45"/>
      <c r="I58" s="45"/>
      <c r="J58" s="24"/>
      <c r="K58" s="10"/>
      <c r="L58" s="10"/>
    </row>
    <row r="59" spans="1:13" ht="42.5" thickBot="1" x14ac:dyDescent="0.4">
      <c r="A59" s="9"/>
      <c r="B59" s="548" t="s">
        <v>187</v>
      </c>
      <c r="C59" s="65"/>
      <c r="D59" s="36"/>
      <c r="E59" s="24"/>
      <c r="F59" s="24"/>
      <c r="G59" s="24"/>
      <c r="H59" s="45"/>
      <c r="I59" s="45"/>
      <c r="J59" s="24"/>
      <c r="K59" s="10"/>
    </row>
    <row r="60" spans="1:13" ht="28.5" thickBot="1" x14ac:dyDescent="0.4">
      <c r="A60" s="20"/>
      <c r="B60" s="545" t="s">
        <v>65</v>
      </c>
      <c r="C60" s="534" t="s">
        <v>66</v>
      </c>
      <c r="D60" s="534" t="s">
        <v>67</v>
      </c>
      <c r="E60" s="534" t="s">
        <v>68</v>
      </c>
      <c r="F60" s="534" t="s">
        <v>69</v>
      </c>
      <c r="G60" s="534" t="s">
        <v>70</v>
      </c>
      <c r="H60" s="534" t="s">
        <v>71</v>
      </c>
      <c r="I60" s="1238" t="s">
        <v>72</v>
      </c>
      <c r="J60" s="534" t="s">
        <v>73</v>
      </c>
      <c r="K60" s="534" t="s">
        <v>176</v>
      </c>
      <c r="L60" s="537" t="s">
        <v>75</v>
      </c>
    </row>
    <row r="61" spans="1:13" x14ac:dyDescent="0.35">
      <c r="A61" s="2"/>
      <c r="B61" s="541" t="s">
        <v>188</v>
      </c>
      <c r="C61" s="539" t="s">
        <v>189</v>
      </c>
      <c r="D61" s="539"/>
      <c r="E61" s="539"/>
      <c r="F61" s="539"/>
      <c r="G61" s="1330"/>
      <c r="H61" s="282">
        <f>SUM(H62:H63)</f>
        <v>0</v>
      </c>
      <c r="I61" s="282">
        <f t="shared" ref="I61" si="1">SUM(I62:I63)</f>
        <v>0</v>
      </c>
      <c r="J61" s="282">
        <f>SUM(J62:J63)</f>
        <v>0</v>
      </c>
      <c r="K61" s="539" t="s">
        <v>79</v>
      </c>
      <c r="L61" s="540" t="s">
        <v>79</v>
      </c>
    </row>
    <row r="62" spans="1:13" x14ac:dyDescent="0.35">
      <c r="A62" s="2"/>
      <c r="B62" s="25" t="s">
        <v>79</v>
      </c>
      <c r="C62" s="14" t="s">
        <v>82</v>
      </c>
      <c r="D62" s="14"/>
      <c r="E62" s="15"/>
      <c r="F62" s="15"/>
      <c r="G62" s="15"/>
      <c r="H62" s="283"/>
      <c r="I62" s="283"/>
      <c r="J62" s="283"/>
      <c r="K62" s="15"/>
      <c r="L62" s="42"/>
    </row>
    <row r="63" spans="1:13" x14ac:dyDescent="0.35">
      <c r="A63" s="2"/>
      <c r="B63" s="27" t="s">
        <v>79</v>
      </c>
      <c r="C63" s="28" t="s">
        <v>82</v>
      </c>
      <c r="D63" s="28"/>
      <c r="E63" s="29"/>
      <c r="F63" s="15"/>
      <c r="G63" s="29"/>
      <c r="H63" s="284"/>
      <c r="I63" s="284"/>
      <c r="J63" s="284"/>
      <c r="K63" s="29"/>
      <c r="L63" s="44"/>
      <c r="M63" s="10"/>
    </row>
    <row r="64" spans="1:13" x14ac:dyDescent="0.35">
      <c r="A64" s="2"/>
      <c r="B64" s="66"/>
      <c r="C64" s="36"/>
      <c r="D64" s="36"/>
      <c r="E64" s="24"/>
      <c r="F64" s="24"/>
      <c r="G64" s="24"/>
      <c r="H64" s="1191"/>
      <c r="I64" s="1191"/>
      <c r="J64" s="1191"/>
      <c r="K64" s="24"/>
      <c r="L64" s="10"/>
      <c r="M64" s="10"/>
    </row>
    <row r="65" spans="1:12" ht="14.5" thickBot="1" x14ac:dyDescent="0.4">
      <c r="A65" s="2"/>
      <c r="B65" s="66"/>
      <c r="C65" s="36"/>
      <c r="D65" s="36"/>
      <c r="E65" s="24"/>
      <c r="F65" s="24"/>
      <c r="G65" s="24"/>
      <c r="H65" s="45"/>
      <c r="I65" s="45"/>
      <c r="J65" s="24"/>
      <c r="K65" s="10"/>
      <c r="L65" s="10"/>
    </row>
    <row r="66" spans="1:12" ht="56.5" thickBot="1" x14ac:dyDescent="0.4">
      <c r="A66" s="20"/>
      <c r="B66" s="548" t="s">
        <v>190</v>
      </c>
      <c r="C66" s="65"/>
      <c r="D66" s="36"/>
      <c r="E66" s="24"/>
      <c r="F66" s="24"/>
      <c r="G66" s="24"/>
      <c r="H66" s="45"/>
      <c r="I66" s="45"/>
      <c r="J66" s="24"/>
      <c r="K66" s="10"/>
    </row>
    <row r="67" spans="1:12" ht="28.5" thickBot="1" x14ac:dyDescent="0.4">
      <c r="A67" s="20"/>
      <c r="B67" s="545" t="s">
        <v>65</v>
      </c>
      <c r="C67" s="534" t="s">
        <v>66</v>
      </c>
      <c r="D67" s="534" t="s">
        <v>67</v>
      </c>
      <c r="E67" s="534" t="s">
        <v>68</v>
      </c>
      <c r="F67" s="534" t="s">
        <v>69</v>
      </c>
      <c r="G67" s="534" t="s">
        <v>70</v>
      </c>
      <c r="H67" s="534" t="s">
        <v>71</v>
      </c>
      <c r="I67" s="1238" t="s">
        <v>72</v>
      </c>
      <c r="J67" s="534" t="s">
        <v>73</v>
      </c>
      <c r="K67" s="534" t="s">
        <v>191</v>
      </c>
      <c r="L67" s="537" t="s">
        <v>75</v>
      </c>
    </row>
    <row r="68" spans="1:12" x14ac:dyDescent="0.35">
      <c r="A68" s="20"/>
      <c r="B68" s="541" t="s">
        <v>192</v>
      </c>
      <c r="C68" s="539" t="s">
        <v>193</v>
      </c>
      <c r="D68" s="539" t="s">
        <v>79</v>
      </c>
      <c r="E68" s="539" t="s">
        <v>79</v>
      </c>
      <c r="F68" s="539" t="s">
        <v>79</v>
      </c>
      <c r="G68" s="1330"/>
      <c r="H68" s="282">
        <f>SUM(H69:H70)</f>
        <v>0</v>
      </c>
      <c r="I68" s="282">
        <f t="shared" ref="I68" si="2">SUM(I69:I70)</f>
        <v>0</v>
      </c>
      <c r="J68" s="282">
        <f>SUM(J69:J70)</f>
        <v>0</v>
      </c>
      <c r="K68" s="539" t="s">
        <v>79</v>
      </c>
      <c r="L68" s="540" t="s">
        <v>79</v>
      </c>
    </row>
    <row r="69" spans="1:12" x14ac:dyDescent="0.35">
      <c r="A69" s="20"/>
      <c r="B69" s="25" t="s">
        <v>79</v>
      </c>
      <c r="C69" s="14" t="s">
        <v>82</v>
      </c>
      <c r="D69" s="14"/>
      <c r="E69" s="15"/>
      <c r="F69" s="15"/>
      <c r="G69" s="15"/>
      <c r="H69" s="283"/>
      <c r="I69" s="283"/>
      <c r="J69" s="283"/>
      <c r="K69" s="15"/>
      <c r="L69" s="42"/>
    </row>
    <row r="70" spans="1:12" x14ac:dyDescent="0.35">
      <c r="B70" s="27" t="s">
        <v>79</v>
      </c>
      <c r="C70" s="28" t="s">
        <v>82</v>
      </c>
      <c r="D70" s="28"/>
      <c r="E70" s="29"/>
      <c r="F70" s="15"/>
      <c r="G70" s="29"/>
      <c r="H70" s="284"/>
      <c r="I70" s="284"/>
      <c r="J70" s="284"/>
      <c r="K70" s="29"/>
      <c r="L70" s="44"/>
    </row>
    <row r="71" spans="1:12" x14ac:dyDescent="0.35">
      <c r="B71" s="66"/>
      <c r="C71" s="36"/>
      <c r="D71" s="36"/>
      <c r="E71" s="24"/>
      <c r="F71" s="24"/>
      <c r="G71" s="24"/>
      <c r="H71" s="1191"/>
      <c r="I71" s="1191"/>
      <c r="J71" s="1191"/>
      <c r="K71" s="24"/>
      <c r="L71" s="10"/>
    </row>
    <row r="72" spans="1:12" ht="14.5" thickBot="1" x14ac:dyDescent="0.4">
      <c r="A72" s="11"/>
      <c r="L72" s="7"/>
    </row>
    <row r="73" spans="1:12" ht="42.5" thickBot="1" x14ac:dyDescent="0.4">
      <c r="A73" s="11"/>
      <c r="B73" s="549" t="s">
        <v>194</v>
      </c>
      <c r="C73" s="7"/>
      <c r="D73" s="7"/>
      <c r="E73" s="7"/>
      <c r="F73" s="7"/>
      <c r="G73" s="7"/>
      <c r="H73" s="7"/>
      <c r="I73" s="7"/>
      <c r="J73" s="7"/>
      <c r="K73" s="7"/>
    </row>
    <row r="74" spans="1:12" ht="28.5" thickBot="1" x14ac:dyDescent="0.4">
      <c r="A74" s="2"/>
      <c r="B74" s="546" t="s">
        <v>65</v>
      </c>
      <c r="C74" s="546" t="s">
        <v>66</v>
      </c>
      <c r="D74" s="546" t="s">
        <v>195</v>
      </c>
      <c r="E74" s="546" t="s">
        <v>196</v>
      </c>
      <c r="F74" s="546" t="s">
        <v>197</v>
      </c>
      <c r="G74" s="546" t="s">
        <v>198</v>
      </c>
      <c r="H74" s="546" t="s">
        <v>71</v>
      </c>
      <c r="I74" s="546" t="s">
        <v>72</v>
      </c>
      <c r="J74" s="546" t="s">
        <v>199</v>
      </c>
      <c r="K74" s="546" t="s">
        <v>200</v>
      </c>
      <c r="L74" s="547" t="s">
        <v>75</v>
      </c>
    </row>
    <row r="75" spans="1:12" ht="15" customHeight="1" x14ac:dyDescent="0.35">
      <c r="A75" s="2"/>
      <c r="B75" s="55" t="s">
        <v>201</v>
      </c>
      <c r="C75" s="56" t="s">
        <v>82</v>
      </c>
      <c r="D75" s="56"/>
      <c r="E75" s="56"/>
      <c r="F75" s="56"/>
      <c r="G75" s="56"/>
      <c r="H75" s="290"/>
      <c r="I75" s="290"/>
      <c r="J75" s="290"/>
      <c r="K75" s="56"/>
      <c r="L75" s="57"/>
    </row>
    <row r="76" spans="1:12" ht="15.65" customHeight="1" x14ac:dyDescent="0.35">
      <c r="B76" s="21" t="s">
        <v>79</v>
      </c>
      <c r="C76" s="14" t="s">
        <v>82</v>
      </c>
      <c r="D76" s="15"/>
      <c r="E76" s="15"/>
      <c r="F76" s="15"/>
      <c r="G76" s="15"/>
      <c r="H76" s="283"/>
      <c r="I76" s="283"/>
      <c r="J76" s="283"/>
      <c r="K76" s="17"/>
      <c r="L76" s="26"/>
    </row>
    <row r="77" spans="1:12" ht="15.65" customHeight="1" x14ac:dyDescent="0.35">
      <c r="B77" s="46" t="s">
        <v>79</v>
      </c>
      <c r="C77" s="28" t="s">
        <v>82</v>
      </c>
      <c r="D77" s="47"/>
      <c r="E77" s="47"/>
      <c r="F77" s="47"/>
      <c r="G77" s="47"/>
      <c r="H77" s="291"/>
      <c r="I77" s="291"/>
      <c r="J77" s="291"/>
      <c r="K77" s="47"/>
      <c r="L77" s="48"/>
    </row>
    <row r="78" spans="1:12" ht="15.65" customHeight="1" x14ac:dyDescent="0.35">
      <c r="B78" s="35"/>
      <c r="C78" s="36"/>
      <c r="H78" s="1192"/>
      <c r="I78" s="1192"/>
      <c r="J78" s="1192"/>
    </row>
    <row r="79" spans="1:12" ht="15.65" customHeight="1" thickBot="1" x14ac:dyDescent="0.4">
      <c r="B79" s="5"/>
      <c r="C79" s="36"/>
    </row>
    <row r="80" spans="1:12" ht="42.5" thickBot="1" x14ac:dyDescent="0.4">
      <c r="B80" s="549" t="s">
        <v>202</v>
      </c>
      <c r="C80" s="35"/>
      <c r="D80" s="36"/>
    </row>
    <row r="81" spans="1:12" ht="28.5" thickBot="1" x14ac:dyDescent="0.4">
      <c r="A81" s="2"/>
      <c r="B81" s="546" t="s">
        <v>65</v>
      </c>
      <c r="C81" s="546" t="s">
        <v>66</v>
      </c>
      <c r="D81" s="546" t="s">
        <v>195</v>
      </c>
      <c r="E81" s="546" t="s">
        <v>196</v>
      </c>
      <c r="F81" s="546" t="s">
        <v>197</v>
      </c>
      <c r="G81" s="546" t="s">
        <v>198</v>
      </c>
      <c r="H81" s="546" t="s">
        <v>71</v>
      </c>
      <c r="I81" s="546" t="s">
        <v>72</v>
      </c>
      <c r="J81" s="546" t="s">
        <v>199</v>
      </c>
      <c r="K81" s="546" t="s">
        <v>200</v>
      </c>
      <c r="L81" s="547" t="s">
        <v>75</v>
      </c>
    </row>
    <row r="82" spans="1:12" ht="15" customHeight="1" x14ac:dyDescent="0.35">
      <c r="A82" s="2"/>
      <c r="B82" s="55" t="s">
        <v>203</v>
      </c>
      <c r="C82" s="56" t="s">
        <v>82</v>
      </c>
      <c r="D82" s="56"/>
      <c r="E82" s="56"/>
      <c r="F82" s="56"/>
      <c r="G82" s="56"/>
      <c r="H82" s="290"/>
      <c r="I82" s="290"/>
      <c r="J82" s="290"/>
      <c r="K82" s="56"/>
      <c r="L82" s="57"/>
    </row>
    <row r="83" spans="1:12" ht="15" customHeight="1" x14ac:dyDescent="0.35">
      <c r="A83" s="2"/>
      <c r="B83" s="14"/>
      <c r="C83" s="14" t="s">
        <v>82</v>
      </c>
      <c r="D83" s="14" t="s">
        <v>204</v>
      </c>
      <c r="E83" s="14" t="s">
        <v>205</v>
      </c>
      <c r="F83" s="14" t="s">
        <v>206</v>
      </c>
      <c r="G83" s="14" t="s">
        <v>85</v>
      </c>
      <c r="H83" s="14">
        <v>0.05</v>
      </c>
      <c r="I83" s="14">
        <v>0.05</v>
      </c>
      <c r="J83" s="14">
        <v>0.05</v>
      </c>
      <c r="K83" s="14" t="s">
        <v>205</v>
      </c>
      <c r="L83" s="14"/>
    </row>
    <row r="84" spans="1:12" ht="15" customHeight="1" x14ac:dyDescent="0.35">
      <c r="A84" s="2"/>
      <c r="B84" s="14"/>
      <c r="C84" s="14" t="s">
        <v>82</v>
      </c>
      <c r="D84" s="14" t="s">
        <v>207</v>
      </c>
      <c r="E84" s="14" t="s">
        <v>205</v>
      </c>
      <c r="F84" s="1354" t="s">
        <v>208</v>
      </c>
      <c r="G84" s="14" t="s">
        <v>85</v>
      </c>
      <c r="H84" s="14">
        <v>0.01</v>
      </c>
      <c r="I84" s="14">
        <v>0.01</v>
      </c>
      <c r="J84" s="14">
        <v>0.01</v>
      </c>
      <c r="K84" s="14" t="s">
        <v>205</v>
      </c>
      <c r="L84" s="14"/>
    </row>
    <row r="85" spans="1:12" ht="15" customHeight="1" x14ac:dyDescent="0.35">
      <c r="A85" s="2"/>
      <c r="B85" s="14"/>
      <c r="C85" s="14" t="s">
        <v>82</v>
      </c>
      <c r="D85" s="14" t="s">
        <v>209</v>
      </c>
      <c r="E85" s="14" t="s">
        <v>205</v>
      </c>
      <c r="F85" s="14" t="s">
        <v>85</v>
      </c>
      <c r="G85" s="14" t="s">
        <v>206</v>
      </c>
      <c r="H85" s="14">
        <v>0.37</v>
      </c>
      <c r="I85" s="14">
        <v>0.37</v>
      </c>
      <c r="J85" s="14">
        <v>0.37</v>
      </c>
      <c r="K85" s="14" t="s">
        <v>205</v>
      </c>
      <c r="L85" s="14"/>
    </row>
    <row r="86" spans="1:12" ht="15" customHeight="1" x14ac:dyDescent="0.35">
      <c r="A86" s="2"/>
      <c r="B86" s="14"/>
      <c r="C86" s="14" t="s">
        <v>82</v>
      </c>
      <c r="D86" s="14" t="s">
        <v>210</v>
      </c>
      <c r="E86" s="14" t="s">
        <v>205</v>
      </c>
      <c r="F86" s="14" t="s">
        <v>85</v>
      </c>
      <c r="G86" s="1354" t="s">
        <v>208</v>
      </c>
      <c r="H86" s="14">
        <v>0.25</v>
      </c>
      <c r="I86" s="14">
        <v>0.25</v>
      </c>
      <c r="J86" s="14">
        <v>0.25</v>
      </c>
      <c r="K86" s="14" t="s">
        <v>205</v>
      </c>
      <c r="L86" s="14"/>
    </row>
    <row r="87" spans="1:12" ht="15" customHeight="1" x14ac:dyDescent="0.35">
      <c r="A87" s="2"/>
      <c r="B87" s="14"/>
      <c r="C87" s="14" t="s">
        <v>82</v>
      </c>
      <c r="D87" s="14" t="s">
        <v>211</v>
      </c>
      <c r="E87" s="14" t="s">
        <v>205</v>
      </c>
      <c r="F87" s="14" t="s">
        <v>85</v>
      </c>
      <c r="G87" s="1354" t="s">
        <v>208</v>
      </c>
      <c r="H87" s="14">
        <v>0</v>
      </c>
      <c r="I87" s="14">
        <v>0</v>
      </c>
      <c r="J87" s="14">
        <v>2.5</v>
      </c>
      <c r="K87" s="14" t="s">
        <v>212</v>
      </c>
      <c r="L87" s="14"/>
    </row>
    <row r="88" spans="1:12" ht="15" customHeight="1" x14ac:dyDescent="0.35">
      <c r="A88" s="2"/>
      <c r="B88" s="14"/>
      <c r="C88" s="14"/>
      <c r="D88" s="14"/>
      <c r="E88" s="14"/>
      <c r="F88" s="14"/>
      <c r="G88" s="14"/>
      <c r="H88" s="14"/>
      <c r="I88" s="14"/>
      <c r="J88" s="14"/>
      <c r="K88" s="14"/>
      <c r="L88" s="14"/>
    </row>
    <row r="89" spans="1:12" ht="15.65" customHeight="1" x14ac:dyDescent="0.35">
      <c r="B89" s="21" t="s">
        <v>79</v>
      </c>
      <c r="C89" s="14"/>
      <c r="D89" s="15"/>
      <c r="E89" s="15"/>
      <c r="F89" s="15"/>
      <c r="G89" s="15"/>
      <c r="H89" s="283"/>
      <c r="I89" s="283"/>
      <c r="J89" s="283"/>
      <c r="K89" s="17"/>
      <c r="L89" s="26"/>
    </row>
    <row r="90" spans="1:12" x14ac:dyDescent="0.35">
      <c r="B90" s="46" t="s">
        <v>79</v>
      </c>
      <c r="C90" s="28"/>
      <c r="D90" s="47"/>
      <c r="E90" s="47"/>
      <c r="F90" s="47"/>
      <c r="G90" s="47"/>
      <c r="H90" s="291"/>
      <c r="I90" s="291"/>
      <c r="J90" s="291"/>
      <c r="K90" s="47"/>
      <c r="L90" s="48"/>
    </row>
  </sheetData>
  <dataValidations count="3">
    <dataValidation type="list" allowBlank="1" showInputMessage="1" showErrorMessage="1" sqref="G68:G70 G10:G39 G41:G47 G61:G63 G52:G56" xr:uid="{00000000-0002-0000-0100-000000000000}">
      <formula1>Source_Types</formula1>
    </dataValidation>
    <dataValidation type="list" allowBlank="1" showInputMessage="1" showErrorMessage="1" sqref="K69:K71" xr:uid="{00000000-0002-0000-0100-000001000000}">
      <formula1>"Approved, Granted yet to be implemented, Other"</formula1>
    </dataValidation>
    <dataValidation type="list" allowBlank="1" showInputMessage="1" showErrorMessage="1" sqref="F69:F70 F43:F47 F53:F56 F62:F63 F11:F36" xr:uid="{00000000-0002-0000-0100-000002000000}">
      <formula1>$P$8:$P$11</formula1>
    </dataValidation>
  </dataValidations>
  <pageMargins left="0.7" right="0.7" top="0.75" bottom="0.75" header="0.3" footer="0.3"/>
  <pageSetup paperSize="9" orientation="portrait" r:id="rId1"/>
  <legacyDrawing r:id="rId2"/>
  <tableParts count="7">
    <tablePart r:id="rId3"/>
    <tablePart r:id="rId4"/>
    <tablePart r:id="rId5"/>
    <tablePart r:id="rId6"/>
    <tablePart r:id="rId7"/>
    <tablePart r:id="rId8"/>
    <tablePart r:id="rId9"/>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'Option Typs_Grps'!$J$3:$J$130</xm:f>
          </x14:formula1>
          <xm:sqref>F78:G78</xm:sqref>
        </x14:dataValidation>
        <x14:dataValidation type="list" allowBlank="1" showInputMessage="1" showErrorMessage="1" xr:uid="{00000000-0002-0000-0100-000004000000}">
          <x14:formula1>
            <xm:f>'Option Typs_Grps'!$J$3:$J$131</xm:f>
          </x14:formula1>
          <xm:sqref>F75:G77 F82:G90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CZ91"/>
  <sheetViews>
    <sheetView topLeftCell="A66" zoomScale="80" zoomScaleNormal="80" workbookViewId="0">
      <selection activeCell="C89" sqref="C89"/>
    </sheetView>
  </sheetViews>
  <sheetFormatPr defaultColWidth="9.4609375" defaultRowHeight="14" x14ac:dyDescent="0.35"/>
  <cols>
    <col min="1" max="1" width="2.15234375" style="1" customWidth="1"/>
    <col min="2" max="2" width="22.84375" style="1" customWidth="1"/>
    <col min="3" max="3" width="31.15234375" style="1" bestFit="1" customWidth="1"/>
    <col min="4" max="4" width="38" style="1" customWidth="1"/>
    <col min="5" max="5" width="6.15234375" style="1" customWidth="1"/>
    <col min="6" max="6" width="16.53515625" style="1" customWidth="1"/>
    <col min="7" max="9" width="10.15234375" style="1" customWidth="1"/>
    <col min="10" max="12" width="10.53515625" style="1" customWidth="1"/>
    <col min="13" max="13" width="11.61328125" style="1" customWidth="1"/>
    <col min="14" max="17" width="10.53515625" style="1" customWidth="1"/>
    <col min="18" max="19" width="10.15234375" style="1" customWidth="1"/>
    <col min="20" max="27" width="10.53515625" style="1" customWidth="1"/>
    <col min="28" max="29" width="10.15234375" style="1" customWidth="1"/>
    <col min="30" max="37" width="10.53515625" style="1" customWidth="1"/>
    <col min="38" max="39" width="10.15234375" style="1" customWidth="1"/>
    <col min="40" max="47" width="10.53515625" style="1" customWidth="1"/>
    <col min="48" max="49" width="10.15234375" style="1" customWidth="1"/>
    <col min="50" max="57" width="10.53515625" style="1" customWidth="1"/>
    <col min="58" max="59" width="10.15234375" style="1" customWidth="1"/>
    <col min="60" max="67" width="10.53515625" style="1" customWidth="1"/>
    <col min="68" max="69" width="10.15234375" style="1" customWidth="1"/>
    <col min="70" max="77" width="10.53515625" style="1" customWidth="1"/>
    <col min="78" max="79" width="10.15234375" style="1" customWidth="1"/>
    <col min="80" max="86" width="10.53515625" style="1" customWidth="1"/>
    <col min="87" max="87" width="11.15234375" style="1" customWidth="1"/>
    <col min="88" max="89" width="9.84375" style="1" customWidth="1"/>
    <col min="90" max="92" width="10.15234375" style="1" customWidth="1"/>
    <col min="93" max="16384" width="9.4609375" style="1"/>
  </cols>
  <sheetData>
    <row r="1" spans="2:104" x14ac:dyDescent="0.35">
      <c r="B1" s="1243" t="s">
        <v>59</v>
      </c>
    </row>
    <row r="2" spans="2:104" ht="14.5" thickBot="1" x14ac:dyDescent="0.4"/>
    <row r="3" spans="2:104" ht="35.15" customHeight="1" x14ac:dyDescent="0.35">
      <c r="B3" s="466" t="s">
        <v>60</v>
      </c>
      <c r="C3" s="467" t="str">
        <f>'TITLE PAGE'!$D$18</f>
        <v>Cambridge Water</v>
      </c>
      <c r="D3" s="465" t="s">
        <v>2</v>
      </c>
      <c r="E3" s="2"/>
      <c r="F3" s="23"/>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row>
    <row r="4" spans="2:104" ht="14.5" thickBot="1" x14ac:dyDescent="0.4">
      <c r="B4" s="54" t="s">
        <v>214</v>
      </c>
      <c r="C4" s="477" t="s">
        <v>648</v>
      </c>
      <c r="D4" s="83">
        <v>3</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row>
    <row r="5" spans="2:104" ht="14.5" thickBot="1" x14ac:dyDescent="0.4"/>
    <row r="6" spans="2:104" ht="46.5" customHeight="1" thickBot="1" x14ac:dyDescent="0.4">
      <c r="B6" s="478" t="s">
        <v>649</v>
      </c>
    </row>
    <row r="7" spans="2:104" ht="14.5" thickBot="1" x14ac:dyDescent="0.4">
      <c r="B7" s="475" t="s">
        <v>65</v>
      </c>
      <c r="C7" s="473" t="s">
        <v>218</v>
      </c>
      <c r="D7" s="473" t="s">
        <v>66</v>
      </c>
      <c r="E7" s="473" t="s">
        <v>219</v>
      </c>
      <c r="F7" s="474" t="s">
        <v>220</v>
      </c>
      <c r="G7" s="475" t="s">
        <v>221</v>
      </c>
      <c r="H7" s="473" t="s">
        <v>222</v>
      </c>
      <c r="I7" s="473" t="s">
        <v>223</v>
      </c>
      <c r="J7" s="473" t="s">
        <v>224</v>
      </c>
      <c r="K7" s="473" t="s">
        <v>225</v>
      </c>
      <c r="L7" s="473" t="s">
        <v>226</v>
      </c>
      <c r="M7" s="473" t="s">
        <v>227</v>
      </c>
      <c r="N7" s="473" t="s">
        <v>228</v>
      </c>
      <c r="O7" s="473" t="s">
        <v>229</v>
      </c>
      <c r="P7" s="473" t="s">
        <v>230</v>
      </c>
      <c r="Q7" s="476" t="s">
        <v>231</v>
      </c>
      <c r="R7" s="1625" t="s">
        <v>236</v>
      </c>
      <c r="S7" s="1625" t="s">
        <v>241</v>
      </c>
      <c r="T7" s="1625" t="s">
        <v>246</v>
      </c>
      <c r="U7" s="1625" t="s">
        <v>251</v>
      </c>
      <c r="V7" s="1625" t="s">
        <v>256</v>
      </c>
      <c r="W7" s="1625" t="s">
        <v>261</v>
      </c>
      <c r="X7" s="1625" t="s">
        <v>266</v>
      </c>
      <c r="Y7" s="1625" t="s">
        <v>271</v>
      </c>
      <c r="Z7" s="1625" t="s">
        <v>276</v>
      </c>
      <c r="AA7" s="1625" t="s">
        <v>281</v>
      </c>
      <c r="AB7" s="1625" t="s">
        <v>286</v>
      </c>
      <c r="AC7" s="1625" t="s">
        <v>291</v>
      </c>
      <c r="AD7" s="1625" t="s">
        <v>296</v>
      </c>
      <c r="AE7" s="1625" t="s">
        <v>301</v>
      </c>
      <c r="AF7" s="1625" t="s">
        <v>2180</v>
      </c>
    </row>
    <row r="8" spans="2:104" x14ac:dyDescent="0.35">
      <c r="B8" s="486" t="s">
        <v>650</v>
      </c>
      <c r="C8" s="487" t="s">
        <v>651</v>
      </c>
      <c r="D8" s="488" t="s">
        <v>82</v>
      </c>
      <c r="E8" s="489" t="s">
        <v>305</v>
      </c>
      <c r="F8" s="490">
        <v>2</v>
      </c>
      <c r="G8" s="262">
        <v>44.519148040953901</v>
      </c>
      <c r="H8" s="263">
        <v>45.924500125757675</v>
      </c>
      <c r="I8" s="263">
        <v>48.218631350000003</v>
      </c>
      <c r="J8" s="263">
        <v>47.414490669999999</v>
      </c>
      <c r="K8" s="263">
        <v>46.377210079999998</v>
      </c>
      <c r="L8" s="264">
        <v>45.311161120000001</v>
      </c>
      <c r="M8" s="264">
        <v>46.070300410000002</v>
      </c>
      <c r="N8" s="264">
        <v>46.654411519999996</v>
      </c>
      <c r="O8" s="264">
        <v>47.37610754</v>
      </c>
      <c r="P8" s="264">
        <v>48.079046929999997</v>
      </c>
      <c r="Q8" s="265">
        <v>48.697368650000001</v>
      </c>
      <c r="R8" s="266">
        <v>50.53</v>
      </c>
      <c r="S8" s="266">
        <v>51.73</v>
      </c>
      <c r="T8" s="266">
        <v>52.74</v>
      </c>
      <c r="U8" s="266">
        <v>53.44</v>
      </c>
      <c r="V8" s="266">
        <v>53.69</v>
      </c>
      <c r="W8" s="266">
        <v>53.9</v>
      </c>
      <c r="X8" s="266">
        <v>54.08</v>
      </c>
      <c r="Y8" s="266">
        <v>54.29</v>
      </c>
      <c r="Z8" s="266">
        <v>54.57</v>
      </c>
      <c r="AA8" s="266">
        <v>54.93</v>
      </c>
      <c r="AB8" s="266">
        <v>55.39</v>
      </c>
      <c r="AC8" s="266">
        <v>55.93</v>
      </c>
      <c r="AD8" s="266">
        <v>56.49</v>
      </c>
      <c r="AE8" s="266">
        <v>57.05</v>
      </c>
      <c r="AF8" s="266"/>
    </row>
    <row r="9" spans="2:104" s="76" customFormat="1" x14ac:dyDescent="0.35">
      <c r="B9" s="491" t="s">
        <v>652</v>
      </c>
      <c r="C9" s="482" t="s">
        <v>371</v>
      </c>
      <c r="D9" s="483" t="s">
        <v>82</v>
      </c>
      <c r="E9" s="492" t="s">
        <v>366</v>
      </c>
      <c r="F9" s="493">
        <v>1</v>
      </c>
      <c r="G9" s="384">
        <v>136.17666611899449</v>
      </c>
      <c r="H9" s="385">
        <v>138.32785032582899</v>
      </c>
      <c r="I9" s="385">
        <v>141.6607606</v>
      </c>
      <c r="J9" s="385">
        <v>135.45418810000001</v>
      </c>
      <c r="K9" s="385">
        <v>129.70556730000001</v>
      </c>
      <c r="L9" s="386">
        <v>124.0996427</v>
      </c>
      <c r="M9" s="386">
        <v>123.5063423</v>
      </c>
      <c r="N9" s="386">
        <v>123.08906380000001</v>
      </c>
      <c r="O9" s="386">
        <v>122.67848909999999</v>
      </c>
      <c r="P9" s="386">
        <v>122.3192348</v>
      </c>
      <c r="Q9" s="387">
        <v>122.0496897</v>
      </c>
      <c r="R9" s="388">
        <v>120.27</v>
      </c>
      <c r="S9" s="388">
        <v>119.17</v>
      </c>
      <c r="T9" s="388">
        <v>118.28</v>
      </c>
      <c r="U9" s="388">
        <v>117.51</v>
      </c>
      <c r="V9" s="388">
        <v>117.54</v>
      </c>
      <c r="W9" s="388">
        <v>117.62</v>
      </c>
      <c r="X9" s="388">
        <v>117.74</v>
      </c>
      <c r="Y9" s="388">
        <v>117.9</v>
      </c>
      <c r="Z9" s="388">
        <v>118.2</v>
      </c>
      <c r="AA9" s="388">
        <v>118.4</v>
      </c>
      <c r="AB9" s="388">
        <v>118.7</v>
      </c>
      <c r="AC9" s="388">
        <v>119</v>
      </c>
      <c r="AD9" s="388">
        <v>119.5</v>
      </c>
      <c r="AE9" s="388">
        <v>119.9</v>
      </c>
      <c r="AF9" s="388"/>
    </row>
    <row r="10" spans="2:104" s="76" customFormat="1" ht="14.5" thickBot="1" x14ac:dyDescent="0.4">
      <c r="B10" s="494" t="s">
        <v>653</v>
      </c>
      <c r="C10" s="495" t="s">
        <v>654</v>
      </c>
      <c r="D10" s="496" t="s">
        <v>82</v>
      </c>
      <c r="E10" s="497" t="s">
        <v>305</v>
      </c>
      <c r="F10" s="498">
        <v>2</v>
      </c>
      <c r="G10" s="267">
        <v>22.650000000000002</v>
      </c>
      <c r="H10" s="268">
        <v>24.073559690000003</v>
      </c>
      <c r="I10" s="268">
        <v>24.717230610000001</v>
      </c>
      <c r="J10" s="268">
        <v>25.757165660000002</v>
      </c>
      <c r="K10" s="268">
        <v>27.018108380000001</v>
      </c>
      <c r="L10" s="269">
        <v>27.99118567</v>
      </c>
      <c r="M10" s="269">
        <v>28.639952140000002</v>
      </c>
      <c r="N10" s="269">
        <v>29.307201370000001</v>
      </c>
      <c r="O10" s="269">
        <v>29.970065120000001</v>
      </c>
      <c r="P10" s="269">
        <v>30.578994180000002</v>
      </c>
      <c r="Q10" s="270">
        <v>31.142555440000002</v>
      </c>
      <c r="R10" s="271">
        <v>33.700000000000003</v>
      </c>
      <c r="S10" s="271">
        <v>35.700000000000003</v>
      </c>
      <c r="T10" s="271">
        <v>36</v>
      </c>
      <c r="U10" s="271">
        <v>36.4</v>
      </c>
      <c r="V10" s="271">
        <v>36.799999999999997</v>
      </c>
      <c r="W10" s="271">
        <v>37.200000000000003</v>
      </c>
      <c r="X10" s="271">
        <v>37.6</v>
      </c>
      <c r="Y10" s="271">
        <v>38</v>
      </c>
      <c r="Z10" s="271">
        <v>38.4</v>
      </c>
      <c r="AA10" s="271">
        <v>38.700000000000003</v>
      </c>
      <c r="AB10" s="271">
        <v>39.1</v>
      </c>
      <c r="AC10" s="271">
        <v>39.5</v>
      </c>
      <c r="AD10" s="271">
        <v>39.9</v>
      </c>
      <c r="AE10" s="271">
        <v>40.1</v>
      </c>
      <c r="AF10" s="271"/>
      <c r="CZ10" s="1641"/>
    </row>
    <row r="11" spans="2:104" s="76" customFormat="1" ht="14.5" thickBot="1" x14ac:dyDescent="0.4">
      <c r="B11" s="484" t="s">
        <v>655</v>
      </c>
      <c r="C11" s="479" t="s">
        <v>390</v>
      </c>
      <c r="D11" s="480" t="s">
        <v>82</v>
      </c>
      <c r="E11" s="485" t="s">
        <v>305</v>
      </c>
      <c r="F11" s="481">
        <v>2</v>
      </c>
      <c r="G11" s="272">
        <v>13.5</v>
      </c>
      <c r="H11" s="273">
        <v>13.5</v>
      </c>
      <c r="I11" s="273">
        <v>13.510000000000002</v>
      </c>
      <c r="J11" s="273">
        <v>12.5</v>
      </c>
      <c r="K11" s="273">
        <v>12.25</v>
      </c>
      <c r="L11" s="274">
        <v>12</v>
      </c>
      <c r="M11" s="274">
        <v>11.96</v>
      </c>
      <c r="N11" s="274">
        <v>11.96</v>
      </c>
      <c r="O11" s="274">
        <v>11.95</v>
      </c>
      <c r="P11" s="274">
        <v>11.95</v>
      </c>
      <c r="Q11" s="275">
        <v>11.95</v>
      </c>
      <c r="R11" s="276">
        <v>11.96</v>
      </c>
      <c r="S11" s="276">
        <v>11.96</v>
      </c>
      <c r="T11" s="276">
        <v>11.96</v>
      </c>
      <c r="U11" s="276">
        <v>11.96</v>
      </c>
      <c r="V11" s="276">
        <v>11.97</v>
      </c>
      <c r="W11" s="276">
        <v>11.96</v>
      </c>
      <c r="X11" s="276">
        <v>11.96</v>
      </c>
      <c r="Y11" s="276">
        <v>11.97</v>
      </c>
      <c r="Z11" s="276">
        <v>11.987</v>
      </c>
      <c r="AA11" s="276">
        <v>11.97</v>
      </c>
      <c r="AB11" s="276">
        <v>11.98</v>
      </c>
      <c r="AC11" s="276">
        <v>11.98</v>
      </c>
      <c r="AD11" s="276">
        <v>11.98</v>
      </c>
      <c r="AE11" s="276">
        <v>11.99</v>
      </c>
      <c r="AF11" s="276"/>
      <c r="CZ11" s="1641"/>
    </row>
    <row r="12" spans="2:104" s="76" customFormat="1" x14ac:dyDescent="0.35">
      <c r="B12" s="499" t="s">
        <v>656</v>
      </c>
      <c r="C12" s="500" t="s">
        <v>455</v>
      </c>
      <c r="D12" s="501" t="s">
        <v>82</v>
      </c>
      <c r="E12" s="502" t="s">
        <v>305</v>
      </c>
      <c r="F12" s="503">
        <v>2</v>
      </c>
      <c r="G12" s="277">
        <v>80.6691480409539</v>
      </c>
      <c r="H12" s="278">
        <v>83.498059815757671</v>
      </c>
      <c r="I12" s="278">
        <v>86.445861960000016</v>
      </c>
      <c r="J12" s="278">
        <v>85.671656330000005</v>
      </c>
      <c r="K12" s="278">
        <v>85.645318459999999</v>
      </c>
      <c r="L12" s="279">
        <v>85.302346790000001</v>
      </c>
      <c r="M12" s="279">
        <v>86.670252550000015</v>
      </c>
      <c r="N12" s="279">
        <v>87.921612890000006</v>
      </c>
      <c r="O12" s="279">
        <v>89.296172660000011</v>
      </c>
      <c r="P12" s="279">
        <v>90.608041110000002</v>
      </c>
      <c r="Q12" s="280">
        <v>91.789924090000014</v>
      </c>
      <c r="R12" s="281">
        <v>96.19</v>
      </c>
      <c r="S12" s="281">
        <v>99.390000000000015</v>
      </c>
      <c r="T12" s="281">
        <v>100.70000000000002</v>
      </c>
      <c r="U12" s="281">
        <v>101.80000000000001</v>
      </c>
      <c r="V12" s="281">
        <v>102.46</v>
      </c>
      <c r="W12" s="281">
        <v>103.06</v>
      </c>
      <c r="X12" s="281">
        <v>103.64000000000001</v>
      </c>
      <c r="Y12" s="281">
        <v>104.25999999999999</v>
      </c>
      <c r="Z12" s="281">
        <v>104.95699999999999</v>
      </c>
      <c r="AA12" s="281">
        <v>105.6</v>
      </c>
      <c r="AB12" s="281">
        <v>106.47000000000001</v>
      </c>
      <c r="AC12" s="281">
        <v>107.41000000000001</v>
      </c>
      <c r="AD12" s="281">
        <v>108.37</v>
      </c>
      <c r="AE12" s="281">
        <v>109.14</v>
      </c>
      <c r="AF12" s="281"/>
      <c r="CZ12" s="1641"/>
    </row>
    <row r="13" spans="2:104" s="1624" customFormat="1" ht="14.5" thickBot="1" x14ac:dyDescent="0.4"/>
    <row r="14" spans="2:104" x14ac:dyDescent="0.35">
      <c r="B14" s="53" t="s">
        <v>60</v>
      </c>
      <c r="C14" s="147" t="str">
        <f>'TITLE PAGE'!D18</f>
        <v>Cambridge Water</v>
      </c>
      <c r="D14" s="81" t="s">
        <v>2</v>
      </c>
    </row>
    <row r="15" spans="2:104" ht="14.5" thickBot="1" x14ac:dyDescent="0.4">
      <c r="B15" s="54" t="s">
        <v>214</v>
      </c>
      <c r="C15" s="472" t="s">
        <v>215</v>
      </c>
      <c r="D15" s="83">
        <v>3</v>
      </c>
    </row>
    <row r="16" spans="2:104" ht="14.5" thickBot="1" x14ac:dyDescent="0.4"/>
    <row r="17" spans="2:88" ht="42" x14ac:dyDescent="0.35">
      <c r="B17" s="504" t="s">
        <v>657</v>
      </c>
    </row>
    <row r="18" spans="2:88" ht="14.5" thickBot="1" x14ac:dyDescent="0.4">
      <c r="B18" s="505" t="s">
        <v>65</v>
      </c>
      <c r="C18" s="470" t="s">
        <v>218</v>
      </c>
      <c r="D18" s="470" t="s">
        <v>66</v>
      </c>
      <c r="E18" s="470" t="s">
        <v>219</v>
      </c>
      <c r="F18" s="471" t="s">
        <v>220</v>
      </c>
      <c r="G18" s="469" t="s">
        <v>221</v>
      </c>
      <c r="H18" s="470" t="s">
        <v>222</v>
      </c>
      <c r="I18" s="470" t="s">
        <v>223</v>
      </c>
      <c r="J18" s="470" t="s">
        <v>224</v>
      </c>
      <c r="K18" s="470" t="s">
        <v>225</v>
      </c>
      <c r="L18" s="470" t="s">
        <v>226</v>
      </c>
      <c r="M18" s="470" t="s">
        <v>227</v>
      </c>
      <c r="N18" s="470" t="s">
        <v>228</v>
      </c>
      <c r="O18" s="470" t="s">
        <v>229</v>
      </c>
      <c r="P18" s="470" t="s">
        <v>230</v>
      </c>
      <c r="Q18" s="470" t="s">
        <v>231</v>
      </c>
      <c r="R18" s="470" t="s">
        <v>232</v>
      </c>
      <c r="S18" s="470" t="s">
        <v>233</v>
      </c>
      <c r="T18" s="470" t="s">
        <v>234</v>
      </c>
      <c r="U18" s="470" t="s">
        <v>235</v>
      </c>
      <c r="V18" s="470" t="s">
        <v>236</v>
      </c>
      <c r="W18" s="470" t="s">
        <v>237</v>
      </c>
      <c r="X18" s="470" t="s">
        <v>238</v>
      </c>
      <c r="Y18" s="470" t="s">
        <v>239</v>
      </c>
      <c r="Z18" s="470" t="s">
        <v>240</v>
      </c>
      <c r="AA18" s="470" t="s">
        <v>241</v>
      </c>
      <c r="AB18" s="470" t="s">
        <v>242</v>
      </c>
      <c r="AC18" s="470" t="s">
        <v>243</v>
      </c>
      <c r="AD18" s="470" t="s">
        <v>244</v>
      </c>
      <c r="AE18" s="470" t="s">
        <v>245</v>
      </c>
      <c r="AF18" s="470" t="s">
        <v>246</v>
      </c>
      <c r="AG18" s="470" t="s">
        <v>247</v>
      </c>
      <c r="AH18" s="470" t="s">
        <v>248</v>
      </c>
      <c r="AI18" s="470" t="s">
        <v>249</v>
      </c>
      <c r="AJ18" s="470" t="s">
        <v>250</v>
      </c>
      <c r="AK18" s="470" t="s">
        <v>251</v>
      </c>
      <c r="AL18" s="470" t="s">
        <v>252</v>
      </c>
      <c r="AM18" s="470" t="s">
        <v>253</v>
      </c>
      <c r="AN18" s="470" t="s">
        <v>254</v>
      </c>
      <c r="AO18" s="470" t="s">
        <v>255</v>
      </c>
      <c r="AP18" s="470" t="s">
        <v>256</v>
      </c>
      <c r="AQ18" s="470" t="s">
        <v>257</v>
      </c>
      <c r="AR18" s="470" t="s">
        <v>258</v>
      </c>
      <c r="AS18" s="470" t="s">
        <v>259</v>
      </c>
      <c r="AT18" s="470" t="s">
        <v>260</v>
      </c>
      <c r="AU18" s="470" t="s">
        <v>261</v>
      </c>
      <c r="AV18" s="470" t="s">
        <v>262</v>
      </c>
      <c r="AW18" s="470" t="s">
        <v>263</v>
      </c>
      <c r="AX18" s="470" t="s">
        <v>264</v>
      </c>
      <c r="AY18" s="470" t="s">
        <v>265</v>
      </c>
      <c r="AZ18" s="470" t="s">
        <v>266</v>
      </c>
      <c r="BA18" s="470" t="s">
        <v>267</v>
      </c>
      <c r="BB18" s="470" t="s">
        <v>268</v>
      </c>
      <c r="BC18" s="470" t="s">
        <v>269</v>
      </c>
      <c r="BD18" s="470" t="s">
        <v>270</v>
      </c>
      <c r="BE18" s="470" t="s">
        <v>271</v>
      </c>
      <c r="BF18" s="470" t="s">
        <v>272</v>
      </c>
      <c r="BG18" s="470" t="s">
        <v>273</v>
      </c>
      <c r="BH18" s="470" t="s">
        <v>274</v>
      </c>
      <c r="BI18" s="470" t="s">
        <v>275</v>
      </c>
      <c r="BJ18" s="470" t="s">
        <v>276</v>
      </c>
      <c r="BK18" s="470" t="s">
        <v>277</v>
      </c>
      <c r="BL18" s="470" t="s">
        <v>278</v>
      </c>
      <c r="BM18" s="470" t="s">
        <v>279</v>
      </c>
      <c r="BN18" s="470" t="s">
        <v>280</v>
      </c>
      <c r="BO18" s="470" t="s">
        <v>281</v>
      </c>
      <c r="BP18" s="470" t="s">
        <v>282</v>
      </c>
      <c r="BQ18" s="470" t="s">
        <v>283</v>
      </c>
      <c r="BR18" s="470" t="s">
        <v>284</v>
      </c>
      <c r="BS18" s="470" t="s">
        <v>285</v>
      </c>
      <c r="BT18" s="470" t="s">
        <v>286</v>
      </c>
      <c r="BU18" s="470" t="s">
        <v>287</v>
      </c>
      <c r="BV18" s="470" t="s">
        <v>288</v>
      </c>
      <c r="BW18" s="470" t="s">
        <v>289</v>
      </c>
      <c r="BX18" s="470" t="s">
        <v>290</v>
      </c>
      <c r="BY18" s="470" t="s">
        <v>291</v>
      </c>
      <c r="BZ18" s="470" t="s">
        <v>292</v>
      </c>
      <c r="CA18" s="470" t="s">
        <v>293</v>
      </c>
      <c r="CB18" s="470" t="s">
        <v>294</v>
      </c>
      <c r="CC18" s="470" t="s">
        <v>295</v>
      </c>
      <c r="CD18" s="470" t="s">
        <v>296</v>
      </c>
      <c r="CE18" s="470" t="s">
        <v>297</v>
      </c>
      <c r="CF18" s="470" t="s">
        <v>298</v>
      </c>
      <c r="CG18" s="470" t="s">
        <v>299</v>
      </c>
      <c r="CH18" s="470" t="s">
        <v>300</v>
      </c>
      <c r="CI18" s="470" t="s">
        <v>301</v>
      </c>
      <c r="CJ18" s="470" t="s">
        <v>658</v>
      </c>
    </row>
    <row r="19" spans="2:88" ht="14" customHeight="1" x14ac:dyDescent="0.35">
      <c r="B19" s="550" t="s">
        <v>659</v>
      </c>
      <c r="C19" s="551" t="s">
        <v>364</v>
      </c>
      <c r="D19" s="552" t="s">
        <v>660</v>
      </c>
      <c r="E19" s="552" t="s">
        <v>366</v>
      </c>
      <c r="F19" s="553">
        <v>1</v>
      </c>
      <c r="G19" s="371">
        <f>SUM(G20:G28)</f>
        <v>138.592331839</v>
      </c>
      <c r="H19" s="372">
        <f t="shared" ref="H19:BS19" si="0">SUM(H20:H28)</f>
        <v>138.592331839</v>
      </c>
      <c r="I19" s="372">
        <f t="shared" si="0"/>
        <v>138.592331839</v>
      </c>
      <c r="J19" s="372">
        <f t="shared" si="0"/>
        <v>133.173357361</v>
      </c>
      <c r="K19" s="372">
        <f t="shared" si="0"/>
        <v>128.081710891</v>
      </c>
      <c r="L19" s="372">
        <f t="shared" si="0"/>
        <v>123.066495737</v>
      </c>
      <c r="M19" s="372">
        <f t="shared" si="0"/>
        <v>122.98540915400002</v>
      </c>
      <c r="N19" s="372">
        <f t="shared" si="0"/>
        <v>123.02865751099999</v>
      </c>
      <c r="O19" s="372">
        <f t="shared" si="0"/>
        <v>123.077003492</v>
      </c>
      <c r="P19" s="372">
        <f t="shared" si="0"/>
        <v>123.15514037099999</v>
      </c>
      <c r="Q19" s="372">
        <f t="shared" si="0"/>
        <v>123.29408747299999</v>
      </c>
      <c r="R19" s="372">
        <f t="shared" si="0"/>
        <v>123.117360545</v>
      </c>
      <c r="S19" s="372">
        <f t="shared" si="0"/>
        <v>123.002734786</v>
      </c>
      <c r="T19" s="372">
        <f t="shared" si="0"/>
        <v>122.91306550200001</v>
      </c>
      <c r="U19" s="372">
        <f t="shared" si="0"/>
        <v>122.80397438099999</v>
      </c>
      <c r="V19" s="372">
        <f t="shared" si="0"/>
        <v>122.674976786</v>
      </c>
      <c r="W19" s="372">
        <f t="shared" si="0"/>
        <v>122.61056058000001</v>
      </c>
      <c r="X19" s="372">
        <f t="shared" si="0"/>
        <v>122.589047812</v>
      </c>
      <c r="Y19" s="372">
        <f t="shared" si="0"/>
        <v>122.56634534199999</v>
      </c>
      <c r="Z19" s="372">
        <f t="shared" si="0"/>
        <v>122.516792838</v>
      </c>
      <c r="AA19" s="372">
        <f t="shared" si="0"/>
        <v>122.502207008</v>
      </c>
      <c r="AB19" s="372">
        <f t="shared" si="0"/>
        <v>122.48766071200001</v>
      </c>
      <c r="AC19" s="372">
        <f t="shared" si="0"/>
        <v>122.46412841</v>
      </c>
      <c r="AD19" s="372">
        <f t="shared" si="0"/>
        <v>122.43392412900002</v>
      </c>
      <c r="AE19" s="372">
        <f t="shared" si="0"/>
        <v>122.39272892999999</v>
      </c>
      <c r="AF19" s="372">
        <f t="shared" si="0"/>
        <v>122.351851177</v>
      </c>
      <c r="AG19" s="372">
        <f t="shared" si="0"/>
        <v>122.32123560799999</v>
      </c>
      <c r="AH19" s="372">
        <f t="shared" si="0"/>
        <v>122.29257084700001</v>
      </c>
      <c r="AI19" s="372">
        <f t="shared" si="0"/>
        <v>122.256945371</v>
      </c>
      <c r="AJ19" s="372">
        <f t="shared" si="0"/>
        <v>122.21958353499998</v>
      </c>
      <c r="AK19" s="372">
        <f t="shared" si="0"/>
        <v>122.18707844900001</v>
      </c>
      <c r="AL19" s="372">
        <f t="shared" si="0"/>
        <v>122.302477091</v>
      </c>
      <c r="AM19" s="372">
        <f t="shared" si="0"/>
        <v>122.41213502200003</v>
      </c>
      <c r="AN19" s="372">
        <f t="shared" si="0"/>
        <v>122.520913725</v>
      </c>
      <c r="AO19" s="372">
        <f t="shared" si="0"/>
        <v>122.62946202500001</v>
      </c>
      <c r="AP19" s="372">
        <f t="shared" si="0"/>
        <v>122.74047680299999</v>
      </c>
      <c r="AQ19" s="372">
        <f t="shared" si="0"/>
        <v>122.85854148099999</v>
      </c>
      <c r="AR19" s="372">
        <f t="shared" si="0"/>
        <v>122.973074887</v>
      </c>
      <c r="AS19" s="372">
        <f t="shared" si="0"/>
        <v>123.07849325600002</v>
      </c>
      <c r="AT19" s="372">
        <f t="shared" si="0"/>
        <v>123.17951486700001</v>
      </c>
      <c r="AU19" s="372">
        <f t="shared" si="0"/>
        <v>123.281574781</v>
      </c>
      <c r="AV19" s="372">
        <f t="shared" si="0"/>
        <v>123.38329406799998</v>
      </c>
      <c r="AW19" s="372">
        <f t="shared" si="0"/>
        <v>123.482226525</v>
      </c>
      <c r="AX19" s="372">
        <f t="shared" si="0"/>
        <v>123.582963968</v>
      </c>
      <c r="AY19" s="372">
        <f t="shared" si="0"/>
        <v>123.68885213</v>
      </c>
      <c r="AZ19" s="372">
        <f t="shared" si="0"/>
        <v>123.79923428599999</v>
      </c>
      <c r="BA19" s="372">
        <f t="shared" si="0"/>
        <v>123.91326831299999</v>
      </c>
      <c r="BB19" s="372">
        <f t="shared" si="0"/>
        <v>124.02542047799999</v>
      </c>
      <c r="BC19" s="372">
        <f t="shared" si="0"/>
        <v>124.13541489600001</v>
      </c>
      <c r="BD19" s="372">
        <f t="shared" si="0"/>
        <v>124.24587802200001</v>
      </c>
      <c r="BE19" s="372">
        <f t="shared" si="0"/>
        <v>124.35706679100001</v>
      </c>
      <c r="BF19" s="372">
        <f t="shared" si="0"/>
        <v>124.46915532199999</v>
      </c>
      <c r="BG19" s="372">
        <f t="shared" si="0"/>
        <v>124.58052848899997</v>
      </c>
      <c r="BH19" s="372">
        <f t="shared" si="0"/>
        <v>124.69252159000001</v>
      </c>
      <c r="BI19" s="372">
        <f t="shared" si="0"/>
        <v>124.80298851400001</v>
      </c>
      <c r="BJ19" s="372">
        <f t="shared" si="0"/>
        <v>124.910591387</v>
      </c>
      <c r="BK19" s="372">
        <f t="shared" si="0"/>
        <v>125.01854226500002</v>
      </c>
      <c r="BL19" s="372">
        <f t="shared" si="0"/>
        <v>125.122489698</v>
      </c>
      <c r="BM19" s="372">
        <f t="shared" si="0"/>
        <v>125.22405262000001</v>
      </c>
      <c r="BN19" s="372">
        <f t="shared" si="0"/>
        <v>125.326864972</v>
      </c>
      <c r="BO19" s="372">
        <f t="shared" si="0"/>
        <v>125.42967889399999</v>
      </c>
      <c r="BP19" s="372">
        <f t="shared" si="0"/>
        <v>125.537066935</v>
      </c>
      <c r="BQ19" s="372">
        <f t="shared" si="0"/>
        <v>125.646971979</v>
      </c>
      <c r="BR19" s="372">
        <f t="shared" si="0"/>
        <v>125.75902050800001</v>
      </c>
      <c r="BS19" s="372">
        <f t="shared" si="0"/>
        <v>125.87074042099999</v>
      </c>
      <c r="BT19" s="372">
        <f t="shared" ref="BT19:CJ19" si="1">SUM(BT20:BT28)</f>
        <v>125.98352587100001</v>
      </c>
      <c r="BU19" s="372">
        <f t="shared" si="1"/>
        <v>126.098834209</v>
      </c>
      <c r="BV19" s="372">
        <f t="shared" si="1"/>
        <v>126.21612118900001</v>
      </c>
      <c r="BW19" s="372">
        <f t="shared" si="1"/>
        <v>126.33415343899999</v>
      </c>
      <c r="BX19" s="372">
        <f t="shared" si="1"/>
        <v>126.45455343700002</v>
      </c>
      <c r="BY19" s="372">
        <f t="shared" si="1"/>
        <v>126.57815012099999</v>
      </c>
      <c r="BZ19" s="372">
        <f t="shared" si="1"/>
        <v>126.70729624800001</v>
      </c>
      <c r="CA19" s="372">
        <f t="shared" si="1"/>
        <v>126.83818993200001</v>
      </c>
      <c r="CB19" s="372">
        <f t="shared" si="1"/>
        <v>126.97055307500001</v>
      </c>
      <c r="CC19" s="372">
        <f t="shared" si="1"/>
        <v>127.10073258600001</v>
      </c>
      <c r="CD19" s="372">
        <f t="shared" si="1"/>
        <v>127.232873779</v>
      </c>
      <c r="CE19" s="372">
        <f t="shared" si="1"/>
        <v>127.36669969</v>
      </c>
      <c r="CF19" s="372">
        <f t="shared" si="1"/>
        <v>127.50093667900001</v>
      </c>
      <c r="CG19" s="372">
        <f t="shared" si="1"/>
        <v>127.63183137600001</v>
      </c>
      <c r="CH19" s="372">
        <f t="shared" si="1"/>
        <v>127.76041429100002</v>
      </c>
      <c r="CI19" s="372">
        <f t="shared" si="1"/>
        <v>127.887865475</v>
      </c>
      <c r="CJ19" s="372">
        <f t="shared" si="1"/>
        <v>109.08448938761953</v>
      </c>
    </row>
    <row r="20" spans="2:88" x14ac:dyDescent="0.35">
      <c r="B20" s="554" t="s">
        <v>661</v>
      </c>
      <c r="C20" s="555" t="s">
        <v>662</v>
      </c>
      <c r="D20" s="556" t="s">
        <v>82</v>
      </c>
      <c r="E20" s="556" t="s">
        <v>366</v>
      </c>
      <c r="F20" s="557">
        <v>1</v>
      </c>
      <c r="G20" s="374">
        <v>28.923758230000001</v>
      </c>
      <c r="H20" s="374">
        <v>28.923758230000001</v>
      </c>
      <c r="I20" s="374">
        <v>28.923758230000001</v>
      </c>
      <c r="J20" s="374">
        <v>27.08452823</v>
      </c>
      <c r="K20" s="374">
        <v>25.4007313</v>
      </c>
      <c r="L20" s="375">
        <v>23.803110660000002</v>
      </c>
      <c r="M20" s="375">
        <v>23.201057890000001</v>
      </c>
      <c r="N20" s="375">
        <v>22.64831826</v>
      </c>
      <c r="O20" s="375">
        <v>22.106246899999999</v>
      </c>
      <c r="P20" s="375">
        <v>21.585831710000001</v>
      </c>
      <c r="Q20" s="375">
        <v>21.09143959</v>
      </c>
      <c r="R20" s="375">
        <v>21.034620109999999</v>
      </c>
      <c r="S20" s="375">
        <v>20.990886700000001</v>
      </c>
      <c r="T20" s="375">
        <v>20.953587639999999</v>
      </c>
      <c r="U20" s="375">
        <v>20.91338271</v>
      </c>
      <c r="V20" s="375">
        <v>20.870116750000001</v>
      </c>
      <c r="W20" s="375">
        <v>20.83877266</v>
      </c>
      <c r="X20" s="375">
        <v>20.815141000000001</v>
      </c>
      <c r="Y20" s="375">
        <v>20.791966989999999</v>
      </c>
      <c r="Z20" s="375">
        <v>20.764426960000002</v>
      </c>
      <c r="AA20" s="375">
        <v>20.74298246</v>
      </c>
      <c r="AB20" s="375">
        <v>20.721623579999999</v>
      </c>
      <c r="AC20" s="375">
        <v>20.699109069999999</v>
      </c>
      <c r="AD20" s="375">
        <v>20.675808249999999</v>
      </c>
      <c r="AE20" s="375">
        <v>20.65096467</v>
      </c>
      <c r="AF20" s="375">
        <v>20.62648875</v>
      </c>
      <c r="AG20" s="375">
        <v>20.60394337</v>
      </c>
      <c r="AH20" s="375">
        <v>20.581891880000001</v>
      </c>
      <c r="AI20" s="375">
        <v>20.558788230000001</v>
      </c>
      <c r="AJ20" s="375">
        <v>20.535500710000001</v>
      </c>
      <c r="AK20" s="375">
        <v>20.513122209999999</v>
      </c>
      <c r="AL20" s="375">
        <v>20.525309119999999</v>
      </c>
      <c r="AM20" s="375">
        <v>20.53664264</v>
      </c>
      <c r="AN20" s="375">
        <v>20.547855089999999</v>
      </c>
      <c r="AO20" s="375">
        <v>20.559076000000001</v>
      </c>
      <c r="AP20" s="375">
        <v>20.570679599999998</v>
      </c>
      <c r="AQ20" s="375">
        <v>20.583406220000001</v>
      </c>
      <c r="AR20" s="375">
        <v>20.595582969999999</v>
      </c>
      <c r="AS20" s="375">
        <v>20.606398280000001</v>
      </c>
      <c r="AT20" s="375">
        <v>20.616582780000002</v>
      </c>
      <c r="AU20" s="375">
        <v>20.626935880000001</v>
      </c>
      <c r="AV20" s="375">
        <v>20.63727085</v>
      </c>
      <c r="AW20" s="375">
        <v>20.647184840000001</v>
      </c>
      <c r="AX20" s="375">
        <v>20.657385099999999</v>
      </c>
      <c r="AY20" s="375">
        <v>20.668403489999999</v>
      </c>
      <c r="AZ20" s="375">
        <v>20.680113590000001</v>
      </c>
      <c r="BA20" s="375">
        <v>20.692378300000001</v>
      </c>
      <c r="BB20" s="375">
        <v>20.704326089999999</v>
      </c>
      <c r="BC20" s="375">
        <v>20.715934270000002</v>
      </c>
      <c r="BD20" s="375">
        <v>20.727588900000001</v>
      </c>
      <c r="BE20" s="375">
        <v>20.7393398</v>
      </c>
      <c r="BF20" s="375">
        <v>20.75120927</v>
      </c>
      <c r="BG20" s="375">
        <v>20.76291891</v>
      </c>
      <c r="BH20" s="375">
        <v>20.77468562</v>
      </c>
      <c r="BI20" s="375">
        <v>20.78616792</v>
      </c>
      <c r="BJ20" s="375">
        <v>20.79717235</v>
      </c>
      <c r="BK20" s="375">
        <v>20.808199290000001</v>
      </c>
      <c r="BL20" s="375">
        <v>20.818566050000001</v>
      </c>
      <c r="BM20" s="375">
        <v>20.828517040000001</v>
      </c>
      <c r="BN20" s="375">
        <v>20.838610800000001</v>
      </c>
      <c r="BO20" s="375">
        <v>20.848659319999999</v>
      </c>
      <c r="BP20" s="375">
        <v>20.859367379999998</v>
      </c>
      <c r="BQ20" s="375">
        <v>20.87042172</v>
      </c>
      <c r="BR20" s="375">
        <v>20.881764069999999</v>
      </c>
      <c r="BS20" s="375">
        <v>20.893033249999998</v>
      </c>
      <c r="BT20" s="375">
        <v>20.904439499999999</v>
      </c>
      <c r="BU20" s="375">
        <v>20.916216259999999</v>
      </c>
      <c r="BV20" s="375">
        <v>20.928270860000001</v>
      </c>
      <c r="BW20" s="375">
        <v>20.940437209999999</v>
      </c>
      <c r="BX20" s="375">
        <v>20.952958020000001</v>
      </c>
      <c r="BY20" s="375">
        <v>20.96596499</v>
      </c>
      <c r="BZ20" s="375">
        <v>20.979822070000001</v>
      </c>
      <c r="CA20" s="375">
        <v>20.993945700000001</v>
      </c>
      <c r="CB20" s="375">
        <v>21.008290120000002</v>
      </c>
      <c r="CC20" s="375">
        <v>21.022302329999999</v>
      </c>
      <c r="CD20" s="375">
        <v>21.0366164</v>
      </c>
      <c r="CE20" s="375">
        <v>21.051203529999999</v>
      </c>
      <c r="CF20" s="375">
        <v>21.065864090000002</v>
      </c>
      <c r="CG20" s="375">
        <v>21.08001947</v>
      </c>
      <c r="CH20" s="375">
        <v>21.093825320000001</v>
      </c>
      <c r="CI20" s="375">
        <v>21.10747361</v>
      </c>
      <c r="CJ20" s="375">
        <v>17.437150672440723</v>
      </c>
    </row>
    <row r="21" spans="2:88" x14ac:dyDescent="0.35">
      <c r="B21" s="554" t="s">
        <v>663</v>
      </c>
      <c r="C21" s="555" t="s">
        <v>664</v>
      </c>
      <c r="D21" s="556" t="s">
        <v>82</v>
      </c>
      <c r="E21" s="556" t="s">
        <v>366</v>
      </c>
      <c r="F21" s="557">
        <v>1</v>
      </c>
      <c r="G21" s="374">
        <v>61.477476789999997</v>
      </c>
      <c r="H21" s="374">
        <v>61.477476789999997</v>
      </c>
      <c r="I21" s="374">
        <v>61.477476789999997</v>
      </c>
      <c r="J21" s="374">
        <v>59.965320009999999</v>
      </c>
      <c r="K21" s="374">
        <v>58.497673509999998</v>
      </c>
      <c r="L21" s="375">
        <v>56.98125726</v>
      </c>
      <c r="M21" s="375">
        <v>57.70267492</v>
      </c>
      <c r="N21" s="375">
        <v>58.455129479999997</v>
      </c>
      <c r="O21" s="375">
        <v>59.202531010000001</v>
      </c>
      <c r="P21" s="375">
        <v>59.947978470000002</v>
      </c>
      <c r="Q21" s="375">
        <v>60.706979050000001</v>
      </c>
      <c r="R21" s="375">
        <v>60.709326539999999</v>
      </c>
      <c r="S21" s="375">
        <v>60.738245450000001</v>
      </c>
      <c r="T21" s="375">
        <v>60.775976210000003</v>
      </c>
      <c r="U21" s="375">
        <v>60.803487429999997</v>
      </c>
      <c r="V21" s="375">
        <v>60.820634290000001</v>
      </c>
      <c r="W21" s="375">
        <v>60.868318180000003</v>
      </c>
      <c r="X21" s="375">
        <v>60.936697690000003</v>
      </c>
      <c r="Y21" s="375">
        <v>61.003509569999999</v>
      </c>
      <c r="Z21" s="375">
        <v>61.056738989999999</v>
      </c>
      <c r="AA21" s="375">
        <v>61.127214809999998</v>
      </c>
      <c r="AB21" s="375">
        <v>61.197694210000002</v>
      </c>
      <c r="AC21" s="375">
        <v>61.263205910000003</v>
      </c>
      <c r="AD21" s="375">
        <v>61.32493522</v>
      </c>
      <c r="AE21" s="375">
        <v>61.380757709999997</v>
      </c>
      <c r="AF21" s="375">
        <v>61.436336509999997</v>
      </c>
      <c r="AG21" s="375">
        <v>61.496396849999996</v>
      </c>
      <c r="AH21" s="375">
        <v>61.556607360000001</v>
      </c>
      <c r="AI21" s="375">
        <v>61.612449419999997</v>
      </c>
      <c r="AJ21" s="375">
        <v>61.666517880000001</v>
      </c>
      <c r="AK21" s="375">
        <v>61.722140719999999</v>
      </c>
      <c r="AL21" s="375">
        <v>61.767587059999997</v>
      </c>
      <c r="AM21" s="375">
        <v>61.809897990000003</v>
      </c>
      <c r="AN21" s="375">
        <v>61.851663930000001</v>
      </c>
      <c r="AO21" s="375">
        <v>61.893181640000002</v>
      </c>
      <c r="AP21" s="375">
        <v>61.935937850000002</v>
      </c>
      <c r="AQ21" s="375">
        <v>61.982289289999997</v>
      </c>
      <c r="AR21" s="375">
        <v>62.026734640000001</v>
      </c>
      <c r="AS21" s="375">
        <v>62.066264879999999</v>
      </c>
      <c r="AT21" s="375">
        <v>62.103360960000003</v>
      </c>
      <c r="AU21" s="375">
        <v>62.140939959999997</v>
      </c>
      <c r="AV21" s="375">
        <v>62.178237869999997</v>
      </c>
      <c r="AW21" s="375">
        <v>62.214013389999998</v>
      </c>
      <c r="AX21" s="375">
        <v>62.250678999999998</v>
      </c>
      <c r="AY21" s="375">
        <v>62.289960620000002</v>
      </c>
      <c r="AZ21" s="375">
        <v>62.331552559999999</v>
      </c>
      <c r="BA21" s="375">
        <v>62.375024000000003</v>
      </c>
      <c r="BB21" s="375">
        <v>62.41750322</v>
      </c>
      <c r="BC21" s="375">
        <v>62.458816880000001</v>
      </c>
      <c r="BD21" s="375">
        <v>62.500370889999999</v>
      </c>
      <c r="BE21" s="375">
        <v>62.542284500000001</v>
      </c>
      <c r="BF21" s="375">
        <v>62.584654039999997</v>
      </c>
      <c r="BG21" s="375">
        <v>62.626683049999997</v>
      </c>
      <c r="BH21" s="375">
        <v>62.669053230000003</v>
      </c>
      <c r="BI21" s="375">
        <v>62.710658979999998</v>
      </c>
      <c r="BJ21" s="375">
        <v>62.750784009999997</v>
      </c>
      <c r="BK21" s="375">
        <v>62.791097960000002</v>
      </c>
      <c r="BL21" s="375">
        <v>62.8293514</v>
      </c>
      <c r="BM21" s="375">
        <v>62.86639735</v>
      </c>
      <c r="BN21" s="375">
        <v>62.904134849999998</v>
      </c>
      <c r="BO21" s="375">
        <v>62.941907409999999</v>
      </c>
      <c r="BP21" s="375">
        <v>62.982094529999998</v>
      </c>
      <c r="BQ21" s="375">
        <v>63.02361776</v>
      </c>
      <c r="BR21" s="375">
        <v>63.066282610000002</v>
      </c>
      <c r="BS21" s="375">
        <v>63.108771840000003</v>
      </c>
      <c r="BT21" s="375">
        <v>63.151816189999998</v>
      </c>
      <c r="BU21" s="375">
        <v>63.196159739999999</v>
      </c>
      <c r="BV21" s="375">
        <v>63.241533279999999</v>
      </c>
      <c r="BW21" s="375">
        <v>63.28725558</v>
      </c>
      <c r="BX21" s="375">
        <v>63.334181280000003</v>
      </c>
      <c r="BY21" s="375">
        <v>63.382733119999997</v>
      </c>
      <c r="BZ21" s="375">
        <v>63.434128639999997</v>
      </c>
      <c r="CA21" s="375">
        <v>63.48638776</v>
      </c>
      <c r="CB21" s="375">
        <v>63.539371090000003</v>
      </c>
      <c r="CC21" s="375">
        <v>63.591170490000003</v>
      </c>
      <c r="CD21" s="375">
        <v>63.643940039999997</v>
      </c>
      <c r="CE21" s="375">
        <v>63.697514529999999</v>
      </c>
      <c r="CF21" s="375">
        <v>63.751239310000003</v>
      </c>
      <c r="CG21" s="375">
        <v>63.803173989999998</v>
      </c>
      <c r="CH21" s="375">
        <v>63.853856790000002</v>
      </c>
      <c r="CI21" s="375">
        <v>63.903884339999998</v>
      </c>
      <c r="CJ21" s="375">
        <v>55.407416202303651</v>
      </c>
    </row>
    <row r="22" spans="2:88" x14ac:dyDescent="0.35">
      <c r="B22" s="554" t="s">
        <v>665</v>
      </c>
      <c r="C22" s="555" t="s">
        <v>666</v>
      </c>
      <c r="D22" s="556" t="s">
        <v>82</v>
      </c>
      <c r="E22" s="556" t="s">
        <v>366</v>
      </c>
      <c r="F22" s="557">
        <v>1</v>
      </c>
      <c r="G22" s="374">
        <v>17.813393649999998</v>
      </c>
      <c r="H22" s="374">
        <v>17.813393649999998</v>
      </c>
      <c r="I22" s="374">
        <v>17.813393649999998</v>
      </c>
      <c r="J22" s="374">
        <v>16.970778540000001</v>
      </c>
      <c r="K22" s="374">
        <v>16.184932889999999</v>
      </c>
      <c r="L22" s="375">
        <v>15.42165827</v>
      </c>
      <c r="M22" s="375">
        <v>15.28384619</v>
      </c>
      <c r="N22" s="375">
        <v>15.164403739999999</v>
      </c>
      <c r="O22" s="375">
        <v>15.04674464</v>
      </c>
      <c r="P22" s="375">
        <v>14.93463066</v>
      </c>
      <c r="Q22" s="375">
        <v>14.83162227</v>
      </c>
      <c r="R22" s="375">
        <v>14.70730524</v>
      </c>
      <c r="S22" s="375">
        <v>14.59054779</v>
      </c>
      <c r="T22" s="375">
        <v>14.47681</v>
      </c>
      <c r="U22" s="375">
        <v>14.36072012</v>
      </c>
      <c r="V22" s="375">
        <v>14.24226505</v>
      </c>
      <c r="W22" s="375">
        <v>14.13127626</v>
      </c>
      <c r="X22" s="375">
        <v>14.025074999999999</v>
      </c>
      <c r="Y22" s="375">
        <v>13.918562789999999</v>
      </c>
      <c r="Z22" s="375">
        <v>13.80881873</v>
      </c>
      <c r="AA22" s="375">
        <v>13.70282727</v>
      </c>
      <c r="AB22" s="375">
        <v>13.59661769</v>
      </c>
      <c r="AC22" s="375">
        <v>13.48921904</v>
      </c>
      <c r="AD22" s="375">
        <v>13.380907049999999</v>
      </c>
      <c r="AE22" s="375">
        <v>13.2712301</v>
      </c>
      <c r="AF22" s="375">
        <v>13.16143456</v>
      </c>
      <c r="AG22" s="375">
        <v>13.053086820000001</v>
      </c>
      <c r="AH22" s="375">
        <v>12.94553211</v>
      </c>
      <c r="AI22" s="375">
        <v>12.83795048</v>
      </c>
      <c r="AJ22" s="375">
        <v>12.73096278</v>
      </c>
      <c r="AK22" s="375">
        <v>12.62528105</v>
      </c>
      <c r="AL22" s="375">
        <v>12.634100200000001</v>
      </c>
      <c r="AM22" s="375">
        <v>12.64231786</v>
      </c>
      <c r="AN22" s="375">
        <v>12.65043026</v>
      </c>
      <c r="AO22" s="375">
        <v>12.6585067</v>
      </c>
      <c r="AP22" s="375">
        <v>12.66681979</v>
      </c>
      <c r="AQ22" s="375">
        <v>12.67584053</v>
      </c>
      <c r="AR22" s="375">
        <v>12.684485219999999</v>
      </c>
      <c r="AS22" s="375">
        <v>12.69218899</v>
      </c>
      <c r="AT22" s="375">
        <v>12.699434719999999</v>
      </c>
      <c r="AU22" s="375">
        <v>12.70677403</v>
      </c>
      <c r="AV22" s="375">
        <v>12.71406889</v>
      </c>
      <c r="AW22" s="375">
        <v>12.72106819</v>
      </c>
      <c r="AX22" s="375">
        <v>12.72824044</v>
      </c>
      <c r="AY22" s="375">
        <v>12.73592777</v>
      </c>
      <c r="AZ22" s="375">
        <v>12.744061159999999</v>
      </c>
      <c r="BA22" s="375">
        <v>12.75255426</v>
      </c>
      <c r="BB22" s="375">
        <v>12.76084197</v>
      </c>
      <c r="BC22" s="375">
        <v>12.76889841</v>
      </c>
      <c r="BD22" s="375">
        <v>12.77698957</v>
      </c>
      <c r="BE22" s="375">
        <v>12.78514275</v>
      </c>
      <c r="BF22" s="375">
        <v>12.7933752</v>
      </c>
      <c r="BG22" s="375">
        <v>12.801520379999999</v>
      </c>
      <c r="BH22" s="375">
        <v>12.80971531</v>
      </c>
      <c r="BI22" s="375">
        <v>12.8177409</v>
      </c>
      <c r="BJ22" s="375">
        <v>12.825462760000001</v>
      </c>
      <c r="BK22" s="375">
        <v>12.83320795</v>
      </c>
      <c r="BL22" s="375">
        <v>12.840533840000001</v>
      </c>
      <c r="BM22" s="375">
        <v>12.847604540000001</v>
      </c>
      <c r="BN22" s="375">
        <v>12.85478908</v>
      </c>
      <c r="BO22" s="375">
        <v>12.8619614</v>
      </c>
      <c r="BP22" s="375">
        <v>12.86958518</v>
      </c>
      <c r="BQ22" s="375">
        <v>12.87745207</v>
      </c>
      <c r="BR22" s="375">
        <v>12.88552408</v>
      </c>
      <c r="BS22" s="375">
        <v>12.893552550000001</v>
      </c>
      <c r="BT22" s="375">
        <v>12.90167827</v>
      </c>
      <c r="BU22" s="375">
        <v>12.910049819999999</v>
      </c>
      <c r="BV22" s="375">
        <v>12.91861134</v>
      </c>
      <c r="BW22" s="375">
        <v>12.92723992</v>
      </c>
      <c r="BX22" s="375">
        <v>12.9360993</v>
      </c>
      <c r="BY22" s="375">
        <v>12.94527368</v>
      </c>
      <c r="BZ22" s="375">
        <v>12.95500124</v>
      </c>
      <c r="CA22" s="375">
        <v>12.964897130000001</v>
      </c>
      <c r="CB22" s="375">
        <v>12.974933050000001</v>
      </c>
      <c r="CC22" s="375">
        <v>12.98474072</v>
      </c>
      <c r="CD22" s="375">
        <v>12.99473875</v>
      </c>
      <c r="CE22" s="375">
        <v>13.00490052</v>
      </c>
      <c r="CF22" s="375">
        <v>13.01509705</v>
      </c>
      <c r="CG22" s="375">
        <v>13.02494939</v>
      </c>
      <c r="CH22" s="375">
        <v>13.034561419999999</v>
      </c>
      <c r="CI22" s="375">
        <v>13.044053610000001</v>
      </c>
      <c r="CJ22" s="375">
        <v>10.92479970565666</v>
      </c>
    </row>
    <row r="23" spans="2:88" x14ac:dyDescent="0.35">
      <c r="B23" s="554" t="s">
        <v>667</v>
      </c>
      <c r="C23" s="555" t="s">
        <v>668</v>
      </c>
      <c r="D23" s="556" t="s">
        <v>82</v>
      </c>
      <c r="E23" s="556" t="s">
        <v>366</v>
      </c>
      <c r="F23" s="557">
        <v>1</v>
      </c>
      <c r="G23" s="374">
        <v>14.08062859</v>
      </c>
      <c r="H23" s="374">
        <v>14.08062859</v>
      </c>
      <c r="I23" s="374">
        <v>14.08062859</v>
      </c>
      <c r="J23" s="374">
        <v>13.511243220000001</v>
      </c>
      <c r="K23" s="374">
        <v>12.97199955</v>
      </c>
      <c r="L23" s="375">
        <v>12.440044220000001</v>
      </c>
      <c r="M23" s="375">
        <v>12.406337840000001</v>
      </c>
      <c r="N23" s="375">
        <v>12.38154465</v>
      </c>
      <c r="O23" s="375">
        <v>12.35698021</v>
      </c>
      <c r="P23" s="375">
        <v>12.333553090000001</v>
      </c>
      <c r="Q23" s="375">
        <v>12.31422733</v>
      </c>
      <c r="R23" s="375">
        <v>12.305037990000001</v>
      </c>
      <c r="S23" s="375">
        <v>12.30121132</v>
      </c>
      <c r="T23" s="375">
        <v>12.299140169999999</v>
      </c>
      <c r="U23" s="375">
        <v>12.29499315</v>
      </c>
      <c r="V23" s="375">
        <v>12.288746489999999</v>
      </c>
      <c r="W23" s="375">
        <v>12.288652600000001</v>
      </c>
      <c r="X23" s="375">
        <v>12.2927179</v>
      </c>
      <c r="Y23" s="375">
        <v>12.296439960000001</v>
      </c>
      <c r="Z23" s="375">
        <v>12.29740705</v>
      </c>
      <c r="AA23" s="375">
        <v>12.30183027</v>
      </c>
      <c r="AB23" s="375">
        <v>12.30623559</v>
      </c>
      <c r="AC23" s="375">
        <v>12.30961858</v>
      </c>
      <c r="AD23" s="375">
        <v>12.312219580000001</v>
      </c>
      <c r="AE23" s="375">
        <v>12.313614380000001</v>
      </c>
      <c r="AF23" s="375">
        <v>12.314940549999999</v>
      </c>
      <c r="AG23" s="375">
        <v>12.31718601</v>
      </c>
      <c r="AH23" s="375">
        <v>12.31950138</v>
      </c>
      <c r="AI23" s="375">
        <v>12.32099298</v>
      </c>
      <c r="AJ23" s="375">
        <v>12.32218565</v>
      </c>
      <c r="AK23" s="375">
        <v>12.323746590000001</v>
      </c>
      <c r="AL23" s="375">
        <v>12.33288454</v>
      </c>
      <c r="AM23" s="375">
        <v>12.34139278</v>
      </c>
      <c r="AN23" s="375">
        <v>12.3497907</v>
      </c>
      <c r="AO23" s="375">
        <v>12.35813707</v>
      </c>
      <c r="AP23" s="375">
        <v>12.366730759999999</v>
      </c>
      <c r="AQ23" s="375">
        <v>12.37604309</v>
      </c>
      <c r="AR23" s="375">
        <v>12.38497301</v>
      </c>
      <c r="AS23" s="375">
        <v>12.39291658</v>
      </c>
      <c r="AT23" s="375">
        <v>12.40037075</v>
      </c>
      <c r="AU23" s="375">
        <v>12.40792085</v>
      </c>
      <c r="AV23" s="375">
        <v>12.415413210000001</v>
      </c>
      <c r="AW23" s="375">
        <v>12.42259984</v>
      </c>
      <c r="AX23" s="375">
        <v>12.429964030000001</v>
      </c>
      <c r="AY23" s="375">
        <v>12.437851090000001</v>
      </c>
      <c r="AZ23" s="375">
        <v>12.44620042</v>
      </c>
      <c r="BA23" s="375">
        <v>12.45492589</v>
      </c>
      <c r="BB23" s="375">
        <v>12.46345275</v>
      </c>
      <c r="BC23" s="375">
        <v>12.47174581</v>
      </c>
      <c r="BD23" s="375">
        <v>12.480087149999999</v>
      </c>
      <c r="BE23" s="375">
        <v>12.48850041</v>
      </c>
      <c r="BF23" s="375">
        <v>12.497005010000001</v>
      </c>
      <c r="BG23" s="375">
        <v>12.50544215</v>
      </c>
      <c r="BH23" s="375">
        <v>12.5139481</v>
      </c>
      <c r="BI23" s="375">
        <v>12.5223017</v>
      </c>
      <c r="BJ23" s="375">
        <v>12.53035918</v>
      </c>
      <c r="BK23" s="375">
        <v>12.538454829999999</v>
      </c>
      <c r="BL23" s="375">
        <v>12.54613844</v>
      </c>
      <c r="BM23" s="375">
        <v>12.55358099</v>
      </c>
      <c r="BN23" s="375">
        <v>12.56116286</v>
      </c>
      <c r="BO23" s="375">
        <v>12.56875249</v>
      </c>
      <c r="BP23" s="375">
        <v>12.5768264</v>
      </c>
      <c r="BQ23" s="375">
        <v>12.58516854</v>
      </c>
      <c r="BR23" s="375">
        <v>12.593739960000001</v>
      </c>
      <c r="BS23" s="375">
        <v>12.60227637</v>
      </c>
      <c r="BT23" s="375">
        <v>12.61092425</v>
      </c>
      <c r="BU23" s="375">
        <v>12.61983238</v>
      </c>
      <c r="BV23" s="375">
        <v>12.62894708</v>
      </c>
      <c r="BW23" s="375">
        <v>12.63813133</v>
      </c>
      <c r="BX23" s="375">
        <v>12.647556460000001</v>
      </c>
      <c r="BY23" s="375">
        <v>12.65730703</v>
      </c>
      <c r="BZ23" s="375">
        <v>12.66762683</v>
      </c>
      <c r="CA23" s="375">
        <v>12.678119260000001</v>
      </c>
      <c r="CB23" s="375">
        <v>12.688756489999999</v>
      </c>
      <c r="CC23" s="375">
        <v>12.699156179999999</v>
      </c>
      <c r="CD23" s="375">
        <v>12.70974979</v>
      </c>
      <c r="CE23" s="375">
        <v>12.72050391</v>
      </c>
      <c r="CF23" s="375">
        <v>12.731287529999999</v>
      </c>
      <c r="CG23" s="375">
        <v>12.741712120000001</v>
      </c>
      <c r="CH23" s="375">
        <v>12.75188554</v>
      </c>
      <c r="CI23" s="375">
        <v>12.76192702</v>
      </c>
      <c r="CJ23" s="375">
        <v>10.749318579371486</v>
      </c>
    </row>
    <row r="24" spans="2:88" x14ac:dyDescent="0.35">
      <c r="B24" s="554" t="s">
        <v>669</v>
      </c>
      <c r="C24" s="555" t="s">
        <v>670</v>
      </c>
      <c r="D24" s="556" t="s">
        <v>82</v>
      </c>
      <c r="E24" s="556" t="s">
        <v>366</v>
      </c>
      <c r="F24" s="557">
        <v>1</v>
      </c>
      <c r="G24" s="374">
        <v>14.73232984</v>
      </c>
      <c r="H24" s="374">
        <v>14.73232984</v>
      </c>
      <c r="I24" s="374">
        <v>14.73232984</v>
      </c>
      <c r="J24" s="374">
        <v>14.10369012</v>
      </c>
      <c r="K24" s="374">
        <v>13.51493936</v>
      </c>
      <c r="L24" s="375">
        <v>12.937321280000001</v>
      </c>
      <c r="M24" s="375">
        <v>12.87879422</v>
      </c>
      <c r="N24" s="375">
        <v>12.83578421</v>
      </c>
      <c r="O24" s="375">
        <v>12.79033804</v>
      </c>
      <c r="P24" s="375">
        <v>12.74811104</v>
      </c>
      <c r="Q24" s="375">
        <v>12.71326417</v>
      </c>
      <c r="R24" s="375">
        <v>12.6923458</v>
      </c>
      <c r="S24" s="375">
        <v>12.680214960000001</v>
      </c>
      <c r="T24" s="375">
        <v>12.67275562</v>
      </c>
      <c r="U24" s="375">
        <v>12.66378029</v>
      </c>
      <c r="V24" s="375">
        <v>12.653165810000001</v>
      </c>
      <c r="W24" s="375">
        <v>12.650182559999999</v>
      </c>
      <c r="X24" s="375">
        <v>12.65215302</v>
      </c>
      <c r="Y24" s="375">
        <v>12.65475191</v>
      </c>
      <c r="Z24" s="375">
        <v>12.65489341</v>
      </c>
      <c r="AA24" s="375">
        <v>12.65893805</v>
      </c>
      <c r="AB24" s="375">
        <v>12.663197500000001</v>
      </c>
      <c r="AC24" s="375">
        <v>12.666984279999999</v>
      </c>
      <c r="AD24" s="375">
        <v>12.670507130000001</v>
      </c>
      <c r="AE24" s="375">
        <v>12.673284280000001</v>
      </c>
      <c r="AF24" s="375">
        <v>12.67647899</v>
      </c>
      <c r="AG24" s="375">
        <v>12.681021510000001</v>
      </c>
      <c r="AH24" s="375">
        <v>12.68601818</v>
      </c>
      <c r="AI24" s="375">
        <v>12.6904986</v>
      </c>
      <c r="AJ24" s="375">
        <v>12.69498877</v>
      </c>
      <c r="AK24" s="375">
        <v>12.700156590000001</v>
      </c>
      <c r="AL24" s="375">
        <v>12.705804560000001</v>
      </c>
      <c r="AM24" s="375">
        <v>12.71100384</v>
      </c>
      <c r="AN24" s="375">
        <v>12.71618447</v>
      </c>
      <c r="AO24" s="375">
        <v>12.7214297</v>
      </c>
      <c r="AP24" s="375">
        <v>12.726950069999999</v>
      </c>
      <c r="AQ24" s="375">
        <v>12.7331954</v>
      </c>
      <c r="AR24" s="375">
        <v>12.73915377</v>
      </c>
      <c r="AS24" s="375">
        <v>12.74435094</v>
      </c>
      <c r="AT24" s="375">
        <v>12.749222290000001</v>
      </c>
      <c r="AU24" s="375">
        <v>12.75423438</v>
      </c>
      <c r="AV24" s="375">
        <v>12.75928075</v>
      </c>
      <c r="AW24" s="375">
        <v>12.76411236</v>
      </c>
      <c r="AX24" s="375">
        <v>12.76915106</v>
      </c>
      <c r="AY24" s="375">
        <v>12.77471843</v>
      </c>
      <c r="AZ24" s="375">
        <v>12.78073167</v>
      </c>
      <c r="BA24" s="375">
        <v>12.78710609</v>
      </c>
      <c r="BB24" s="375">
        <v>12.79331425</v>
      </c>
      <c r="BC24" s="375">
        <v>12.79934634</v>
      </c>
      <c r="BD24" s="375">
        <v>12.80542827</v>
      </c>
      <c r="BE24" s="375">
        <v>12.81159156</v>
      </c>
      <c r="BF24" s="375">
        <v>12.817847860000001</v>
      </c>
      <c r="BG24" s="375">
        <v>12.82402246</v>
      </c>
      <c r="BH24" s="375">
        <v>12.83024741</v>
      </c>
      <c r="BI24" s="375">
        <v>12.83631475</v>
      </c>
      <c r="BJ24" s="375">
        <v>12.84211058</v>
      </c>
      <c r="BK24" s="375">
        <v>12.84793582</v>
      </c>
      <c r="BL24" s="375">
        <v>12.853377099999999</v>
      </c>
      <c r="BM24" s="375">
        <v>12.85857942</v>
      </c>
      <c r="BN24" s="375">
        <v>12.863877280000001</v>
      </c>
      <c r="BO24" s="375">
        <v>12.869158260000001</v>
      </c>
      <c r="BP24" s="375">
        <v>12.87484551</v>
      </c>
      <c r="BQ24" s="375">
        <v>12.88075132</v>
      </c>
      <c r="BR24" s="375">
        <v>12.88684014</v>
      </c>
      <c r="BS24" s="375">
        <v>12.892898779999999</v>
      </c>
      <c r="BT24" s="375">
        <v>12.89905224</v>
      </c>
      <c r="BU24" s="375">
        <v>12.9054424</v>
      </c>
      <c r="BV24" s="375">
        <v>12.912011189999999</v>
      </c>
      <c r="BW24" s="375">
        <v>12.918663629999999</v>
      </c>
      <c r="BX24" s="375">
        <v>12.925543680000001</v>
      </c>
      <c r="BY24" s="375">
        <v>12.93273112</v>
      </c>
      <c r="BZ24" s="375">
        <v>12.94044495</v>
      </c>
      <c r="CA24" s="375">
        <v>12.94833425</v>
      </c>
      <c r="CB24" s="375">
        <v>12.95637041</v>
      </c>
      <c r="CC24" s="375">
        <v>12.96422213</v>
      </c>
      <c r="CD24" s="375">
        <v>12.97226991</v>
      </c>
      <c r="CE24" s="375">
        <v>12.98049892</v>
      </c>
      <c r="CF24" s="375">
        <v>12.988787869999999</v>
      </c>
      <c r="CG24" s="375">
        <v>12.996787640000001</v>
      </c>
      <c r="CH24" s="375">
        <v>13.004590950000001</v>
      </c>
      <c r="CI24" s="375">
        <v>13.01231512</v>
      </c>
      <c r="CJ24" s="375">
        <v>11.034926821148929</v>
      </c>
    </row>
    <row r="25" spans="2:88" x14ac:dyDescent="0.35">
      <c r="B25" s="558" t="s">
        <v>671</v>
      </c>
      <c r="C25" s="555" t="s">
        <v>672</v>
      </c>
      <c r="D25" s="556" t="s">
        <v>82</v>
      </c>
      <c r="E25" s="556" t="s">
        <v>366</v>
      </c>
      <c r="F25" s="557">
        <v>1</v>
      </c>
      <c r="G25" s="377">
        <v>1.564744739</v>
      </c>
      <c r="H25" s="377">
        <v>1.564744739</v>
      </c>
      <c r="I25" s="377">
        <v>1.564744739</v>
      </c>
      <c r="J25" s="377">
        <v>1.537797241</v>
      </c>
      <c r="K25" s="377">
        <v>1.5114342810000001</v>
      </c>
      <c r="L25" s="378">
        <v>1.4831040470000001</v>
      </c>
      <c r="M25" s="378">
        <v>1.5126980940000001</v>
      </c>
      <c r="N25" s="378">
        <v>1.5434771709999999</v>
      </c>
      <c r="O25" s="378">
        <v>1.574162692</v>
      </c>
      <c r="P25" s="378">
        <v>1.6050354010000001</v>
      </c>
      <c r="Q25" s="378">
        <v>1.6365550630000001</v>
      </c>
      <c r="R25" s="378">
        <v>1.6687248649999999</v>
      </c>
      <c r="S25" s="378">
        <v>1.7016285659999999</v>
      </c>
      <c r="T25" s="378">
        <v>1.7347958619999999</v>
      </c>
      <c r="U25" s="378">
        <v>1.7676106810000001</v>
      </c>
      <c r="V25" s="378">
        <v>1.800048396</v>
      </c>
      <c r="W25" s="378">
        <v>1.8333583200000001</v>
      </c>
      <c r="X25" s="378">
        <v>1.867263202</v>
      </c>
      <c r="Y25" s="378">
        <v>1.9011141220000001</v>
      </c>
      <c r="Z25" s="378">
        <v>1.934507698</v>
      </c>
      <c r="AA25" s="378">
        <v>1.9684141479999999</v>
      </c>
      <c r="AB25" s="378">
        <v>2.0022921419999999</v>
      </c>
      <c r="AC25" s="378">
        <v>2.03599153</v>
      </c>
      <c r="AD25" s="378">
        <v>2.0695468990000001</v>
      </c>
      <c r="AE25" s="378">
        <v>2.10287779</v>
      </c>
      <c r="AF25" s="378">
        <v>2.1361718170000001</v>
      </c>
      <c r="AG25" s="378">
        <v>2.1696010480000001</v>
      </c>
      <c r="AH25" s="378">
        <v>2.2030199370000001</v>
      </c>
      <c r="AI25" s="378">
        <v>2.236265661</v>
      </c>
      <c r="AJ25" s="378">
        <v>2.2694277450000002</v>
      </c>
      <c r="AK25" s="378">
        <v>2.3026312889999998</v>
      </c>
      <c r="AL25" s="378">
        <v>2.3367916110000002</v>
      </c>
      <c r="AM25" s="378">
        <v>2.3708799119999999</v>
      </c>
      <c r="AN25" s="378">
        <v>2.4049892750000001</v>
      </c>
      <c r="AO25" s="378">
        <v>2.4391309149999998</v>
      </c>
      <c r="AP25" s="378">
        <v>2.473358733</v>
      </c>
      <c r="AQ25" s="378">
        <v>2.5077669509999998</v>
      </c>
      <c r="AR25" s="378">
        <v>2.5421452769999999</v>
      </c>
      <c r="AS25" s="378">
        <v>2.5763735859999999</v>
      </c>
      <c r="AT25" s="378">
        <v>2.610543367</v>
      </c>
      <c r="AU25" s="378">
        <v>2.6447696810000001</v>
      </c>
      <c r="AV25" s="378">
        <v>2.6790224980000001</v>
      </c>
      <c r="AW25" s="378">
        <v>2.7132479049999998</v>
      </c>
      <c r="AX25" s="378">
        <v>2.747544338</v>
      </c>
      <c r="AY25" s="378">
        <v>2.78199073</v>
      </c>
      <c r="AZ25" s="378">
        <v>2.8165748860000002</v>
      </c>
      <c r="BA25" s="378">
        <v>2.8512797729999999</v>
      </c>
      <c r="BB25" s="378">
        <v>2.8859821980000002</v>
      </c>
      <c r="BC25" s="378">
        <v>2.9206731860000001</v>
      </c>
      <c r="BD25" s="378">
        <v>2.9554132420000001</v>
      </c>
      <c r="BE25" s="378">
        <v>2.9902077710000001</v>
      </c>
      <c r="BF25" s="378">
        <v>3.0250639420000001</v>
      </c>
      <c r="BG25" s="378">
        <v>3.059941539</v>
      </c>
      <c r="BH25" s="378">
        <v>3.0948719200000001</v>
      </c>
      <c r="BI25" s="378">
        <v>3.1298042640000001</v>
      </c>
      <c r="BJ25" s="378">
        <v>3.1647025069999999</v>
      </c>
      <c r="BK25" s="378">
        <v>3.1996464150000001</v>
      </c>
      <c r="BL25" s="378">
        <v>3.234522868</v>
      </c>
      <c r="BM25" s="378">
        <v>3.2693732799999999</v>
      </c>
      <c r="BN25" s="378">
        <v>3.304290102</v>
      </c>
      <c r="BO25" s="378">
        <v>3.339240014</v>
      </c>
      <c r="BP25" s="378">
        <v>3.3743479349999999</v>
      </c>
      <c r="BQ25" s="378">
        <v>3.4095605689999999</v>
      </c>
      <c r="BR25" s="378">
        <v>3.4448696480000001</v>
      </c>
      <c r="BS25" s="378">
        <v>3.4802076309999999</v>
      </c>
      <c r="BT25" s="378">
        <v>3.5156154210000001</v>
      </c>
      <c r="BU25" s="378">
        <v>3.5511336089999999</v>
      </c>
      <c r="BV25" s="378">
        <v>3.5867474389999998</v>
      </c>
      <c r="BW25" s="378">
        <v>3.6224257689999999</v>
      </c>
      <c r="BX25" s="378">
        <v>3.658214697</v>
      </c>
      <c r="BY25" s="378">
        <v>3.6941401809999999</v>
      </c>
      <c r="BZ25" s="378">
        <v>3.730272518</v>
      </c>
      <c r="CA25" s="378">
        <v>3.766505832</v>
      </c>
      <c r="CB25" s="378">
        <v>3.8028319150000001</v>
      </c>
      <c r="CC25" s="378">
        <v>3.8391407360000001</v>
      </c>
      <c r="CD25" s="378">
        <v>3.8755588890000001</v>
      </c>
      <c r="CE25" s="378">
        <v>3.9120782799999998</v>
      </c>
      <c r="CF25" s="378">
        <v>3.948660829</v>
      </c>
      <c r="CG25" s="378">
        <v>3.9851887659999998</v>
      </c>
      <c r="CH25" s="378">
        <v>4.0216942710000003</v>
      </c>
      <c r="CI25" s="378">
        <v>4.0582117750000002</v>
      </c>
      <c r="CJ25" s="378">
        <v>3.5308774066980835</v>
      </c>
    </row>
    <row r="26" spans="2:88" x14ac:dyDescent="0.35">
      <c r="B26" s="558" t="s">
        <v>673</v>
      </c>
      <c r="C26" s="555" t="s">
        <v>674</v>
      </c>
      <c r="D26" s="556" t="s">
        <v>82</v>
      </c>
      <c r="E26" s="556" t="s">
        <v>366</v>
      </c>
      <c r="F26" s="557">
        <v>1</v>
      </c>
      <c r="G26" s="376"/>
      <c r="H26" s="377"/>
      <c r="I26" s="377"/>
      <c r="J26" s="377"/>
      <c r="K26" s="377"/>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378"/>
      <c r="BG26" s="378"/>
      <c r="BH26" s="378"/>
      <c r="BI26" s="378"/>
      <c r="BJ26" s="378"/>
      <c r="BK26" s="378"/>
      <c r="BL26" s="378"/>
      <c r="BM26" s="378"/>
      <c r="BN26" s="378"/>
      <c r="BO26" s="378"/>
      <c r="BP26" s="378"/>
      <c r="BQ26" s="378"/>
      <c r="BR26" s="378"/>
      <c r="BS26" s="378"/>
      <c r="BT26" s="378"/>
      <c r="BU26" s="378"/>
      <c r="BV26" s="378"/>
      <c r="BW26" s="378"/>
      <c r="BX26" s="378"/>
      <c r="BY26" s="378"/>
      <c r="BZ26" s="378"/>
      <c r="CA26" s="378"/>
      <c r="CB26" s="378"/>
      <c r="CC26" s="378"/>
      <c r="CD26" s="378"/>
      <c r="CE26" s="378"/>
      <c r="CF26" s="378"/>
      <c r="CG26" s="378"/>
      <c r="CH26" s="378"/>
      <c r="CI26" s="378"/>
      <c r="CJ26" s="378"/>
    </row>
    <row r="27" spans="2:88" x14ac:dyDescent="0.35">
      <c r="B27" s="558" t="s">
        <v>675</v>
      </c>
      <c r="C27" s="559" t="s">
        <v>674</v>
      </c>
      <c r="D27" s="560" t="s">
        <v>82</v>
      </c>
      <c r="E27" s="560" t="s">
        <v>366</v>
      </c>
      <c r="F27" s="561">
        <v>1</v>
      </c>
      <c r="G27" s="376"/>
      <c r="H27" s="377"/>
      <c r="I27" s="377"/>
      <c r="J27" s="377"/>
      <c r="K27" s="377"/>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row>
    <row r="28" spans="2:88" ht="14.5" thickBot="1" x14ac:dyDescent="0.4">
      <c r="B28" s="558" t="s">
        <v>676</v>
      </c>
      <c r="C28" s="559" t="s">
        <v>674</v>
      </c>
      <c r="D28" s="560" t="s">
        <v>82</v>
      </c>
      <c r="E28" s="560" t="s">
        <v>366</v>
      </c>
      <c r="F28" s="561">
        <v>1</v>
      </c>
      <c r="G28" s="379"/>
      <c r="H28" s="380"/>
      <c r="I28" s="380"/>
      <c r="J28" s="380"/>
      <c r="K28" s="380"/>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c r="BW28" s="381"/>
      <c r="BX28" s="381"/>
      <c r="BY28" s="381"/>
      <c r="BZ28" s="381"/>
      <c r="CA28" s="381"/>
      <c r="CB28" s="381"/>
      <c r="CC28" s="381"/>
      <c r="CD28" s="381"/>
      <c r="CE28" s="381"/>
      <c r="CF28" s="381"/>
      <c r="CG28" s="381"/>
      <c r="CH28" s="381"/>
      <c r="CI28" s="381"/>
      <c r="CJ28" s="381"/>
    </row>
    <row r="29" spans="2:88" ht="14" customHeight="1" x14ac:dyDescent="0.35">
      <c r="B29" s="506" t="s">
        <v>677</v>
      </c>
      <c r="C29" s="507" t="s">
        <v>368</v>
      </c>
      <c r="D29" s="508" t="s">
        <v>678</v>
      </c>
      <c r="E29" s="508" t="s">
        <v>366</v>
      </c>
      <c r="F29" s="509">
        <v>1</v>
      </c>
      <c r="G29" s="382">
        <f>SUM(G30:G38)</f>
        <v>183.53784044299996</v>
      </c>
      <c r="H29" s="383">
        <f t="shared" ref="H29:BS29" si="2">SUM(H30:H38)</f>
        <v>183.53784044299996</v>
      </c>
      <c r="I29" s="383">
        <f t="shared" si="2"/>
        <v>183.53784044299996</v>
      </c>
      <c r="J29" s="383">
        <f t="shared" si="2"/>
        <v>175.52941793299999</v>
      </c>
      <c r="K29" s="383">
        <f t="shared" si="2"/>
        <v>168.06581245199999</v>
      </c>
      <c r="L29" s="383">
        <f t="shared" si="2"/>
        <v>160.72852947400003</v>
      </c>
      <c r="M29" s="383">
        <f t="shared" si="2"/>
        <v>159.85528365900001</v>
      </c>
      <c r="N29" s="383">
        <f t="shared" si="2"/>
        <v>159.114629084</v>
      </c>
      <c r="O29" s="383">
        <f t="shared" si="2"/>
        <v>158.383869793</v>
      </c>
      <c r="P29" s="383">
        <f t="shared" si="2"/>
        <v>157.655832729</v>
      </c>
      <c r="Q29" s="383">
        <f t="shared" si="2"/>
        <v>156.98139741299997</v>
      </c>
      <c r="R29" s="383">
        <f t="shared" si="2"/>
        <v>156.53000117799999</v>
      </c>
      <c r="S29" s="383">
        <f t="shared" si="2"/>
        <v>156.16108595199998</v>
      </c>
      <c r="T29" s="383">
        <f t="shared" si="2"/>
        <v>155.80834821299999</v>
      </c>
      <c r="U29" s="383">
        <f t="shared" si="2"/>
        <v>155.410014687</v>
      </c>
      <c r="V29" s="383">
        <f t="shared" si="2"/>
        <v>154.96702110200002</v>
      </c>
      <c r="W29" s="383">
        <f t="shared" si="2"/>
        <v>154.60900668499997</v>
      </c>
      <c r="X29" s="383">
        <f t="shared" si="2"/>
        <v>154.32498235400001</v>
      </c>
      <c r="Y29" s="383">
        <f t="shared" si="2"/>
        <v>154.03206005499999</v>
      </c>
      <c r="Z29" s="383">
        <f t="shared" si="2"/>
        <v>153.68727553300002</v>
      </c>
      <c r="AA29" s="383">
        <f t="shared" si="2"/>
        <v>153.40642907900002</v>
      </c>
      <c r="AB29" s="383">
        <f t="shared" si="2"/>
        <v>153.125016273</v>
      </c>
      <c r="AC29" s="383">
        <f t="shared" si="2"/>
        <v>152.822759254</v>
      </c>
      <c r="AD29" s="383">
        <f t="shared" si="2"/>
        <v>152.504081762</v>
      </c>
      <c r="AE29" s="383">
        <f t="shared" si="2"/>
        <v>152.160963576</v>
      </c>
      <c r="AF29" s="383">
        <f t="shared" si="2"/>
        <v>151.81461613299999</v>
      </c>
      <c r="AG29" s="383">
        <f t="shared" si="2"/>
        <v>151.48364022199999</v>
      </c>
      <c r="AH29" s="383">
        <f t="shared" si="2"/>
        <v>151.15189474000002</v>
      </c>
      <c r="AI29" s="383">
        <f t="shared" si="2"/>
        <v>150.80241198700003</v>
      </c>
      <c r="AJ29" s="383">
        <f t="shared" si="2"/>
        <v>150.44503440099999</v>
      </c>
      <c r="AK29" s="383">
        <f t="shared" si="2"/>
        <v>150.09240062399999</v>
      </c>
      <c r="AL29" s="383">
        <f t="shared" si="2"/>
        <v>149.865827056</v>
      </c>
      <c r="AM29" s="383">
        <f t="shared" si="2"/>
        <v>149.623622533</v>
      </c>
      <c r="AN29" s="383">
        <f t="shared" si="2"/>
        <v>149.37594826399999</v>
      </c>
      <c r="AO29" s="383">
        <f t="shared" si="2"/>
        <v>149.123778609</v>
      </c>
      <c r="AP29" s="383">
        <f t="shared" si="2"/>
        <v>148.873057359</v>
      </c>
      <c r="AQ29" s="383">
        <f t="shared" si="2"/>
        <v>148.63277932199998</v>
      </c>
      <c r="AR29" s="383">
        <f t="shared" si="2"/>
        <v>148.381598685</v>
      </c>
      <c r="AS29" s="383">
        <f t="shared" si="2"/>
        <v>148.10751918</v>
      </c>
      <c r="AT29" s="383">
        <f t="shared" si="2"/>
        <v>147.820187355</v>
      </c>
      <c r="AU29" s="383">
        <f t="shared" si="2"/>
        <v>147.53111632400001</v>
      </c>
      <c r="AV29" s="383">
        <f t="shared" si="2"/>
        <v>147.23717532400002</v>
      </c>
      <c r="AW29" s="383">
        <f t="shared" si="2"/>
        <v>146.933612025</v>
      </c>
      <c r="AX29" s="383">
        <f t="shared" si="2"/>
        <v>146.62515503400002</v>
      </c>
      <c r="AY29" s="383">
        <f t="shared" si="2"/>
        <v>146.318417869</v>
      </c>
      <c r="AZ29" s="383">
        <f t="shared" si="2"/>
        <v>146.01228566099999</v>
      </c>
      <c r="BA29" s="383">
        <f t="shared" si="2"/>
        <v>145.70508791899999</v>
      </c>
      <c r="BB29" s="383">
        <f t="shared" si="2"/>
        <v>145.38574370800001</v>
      </c>
      <c r="BC29" s="383">
        <f t="shared" si="2"/>
        <v>145.05349951400001</v>
      </c>
      <c r="BD29" s="383">
        <f t="shared" si="2"/>
        <v>144.71388675699998</v>
      </c>
      <c r="BE29" s="383">
        <f t="shared" si="2"/>
        <v>144.36732508199998</v>
      </c>
      <c r="BF29" s="383">
        <f t="shared" si="2"/>
        <v>144.014211378</v>
      </c>
      <c r="BG29" s="383">
        <f t="shared" si="2"/>
        <v>143.651595434</v>
      </c>
      <c r="BH29" s="383">
        <f t="shared" si="2"/>
        <v>143.28208155500002</v>
      </c>
      <c r="BI29" s="383">
        <f t="shared" si="2"/>
        <v>142.901467481</v>
      </c>
      <c r="BJ29" s="383">
        <f t="shared" si="2"/>
        <v>142.50697621</v>
      </c>
      <c r="BK29" s="383">
        <f t="shared" si="2"/>
        <v>142.10506094899998</v>
      </c>
      <c r="BL29" s="383">
        <f t="shared" si="2"/>
        <v>141.687157856</v>
      </c>
      <c r="BM29" s="383">
        <f t="shared" si="2"/>
        <v>141.25663398700001</v>
      </c>
      <c r="BN29" s="383">
        <f t="shared" si="2"/>
        <v>140.82084125200001</v>
      </c>
      <c r="BO29" s="383">
        <f t="shared" si="2"/>
        <v>140.37729245900002</v>
      </c>
      <c r="BP29" s="383">
        <f t="shared" si="2"/>
        <v>139.93514484599999</v>
      </c>
      <c r="BQ29" s="383">
        <f t="shared" si="2"/>
        <v>139.49029375299997</v>
      </c>
      <c r="BR29" s="383">
        <f t="shared" si="2"/>
        <v>139.04205036600001</v>
      </c>
      <c r="BS29" s="383">
        <f t="shared" si="2"/>
        <v>138.585380265</v>
      </c>
      <c r="BT29" s="383">
        <f t="shared" ref="BT29:CJ29" si="3">SUM(BT30:BT38)</f>
        <v>138.123166161</v>
      </c>
      <c r="BU29" s="383">
        <f t="shared" si="3"/>
        <v>137.65827931499999</v>
      </c>
      <c r="BV29" s="383">
        <f t="shared" si="3"/>
        <v>137.18980416000002</v>
      </c>
      <c r="BW29" s="383">
        <f t="shared" si="3"/>
        <v>136.715154743</v>
      </c>
      <c r="BX29" s="383">
        <f t="shared" si="3"/>
        <v>136.23769053500001</v>
      </c>
      <c r="BY29" s="383">
        <f t="shared" si="3"/>
        <v>135.75908620199999</v>
      </c>
      <c r="BZ29" s="383">
        <f t="shared" si="3"/>
        <v>135.28402253600001</v>
      </c>
      <c r="CA29" s="383">
        <f t="shared" si="3"/>
        <v>134.80510951400001</v>
      </c>
      <c r="CB29" s="383">
        <f t="shared" si="3"/>
        <v>134.32194619800001</v>
      </c>
      <c r="CC29" s="383">
        <f t="shared" si="3"/>
        <v>133.82744162300003</v>
      </c>
      <c r="CD29" s="383">
        <f t="shared" si="3"/>
        <v>133.329857788</v>
      </c>
      <c r="CE29" s="383">
        <f t="shared" si="3"/>
        <v>132.82865372099999</v>
      </c>
      <c r="CF29" s="383">
        <f t="shared" si="3"/>
        <v>132.32152584400001</v>
      </c>
      <c r="CG29" s="383">
        <f t="shared" si="3"/>
        <v>131.80136670500002</v>
      </c>
      <c r="CH29" s="383">
        <f t="shared" si="3"/>
        <v>131.27038692799999</v>
      </c>
      <c r="CI29" s="383">
        <f t="shared" si="3"/>
        <v>130.73096195899998</v>
      </c>
      <c r="CJ29" s="383">
        <f t="shared" si="3"/>
        <v>110.94357366106553</v>
      </c>
    </row>
    <row r="30" spans="2:88" x14ac:dyDescent="0.35">
      <c r="B30" s="510" t="s">
        <v>679</v>
      </c>
      <c r="C30" s="511" t="s">
        <v>680</v>
      </c>
      <c r="D30" s="512" t="s">
        <v>82</v>
      </c>
      <c r="E30" s="512" t="s">
        <v>366</v>
      </c>
      <c r="F30" s="513">
        <v>1</v>
      </c>
      <c r="G30" s="374">
        <v>40.367903779999999</v>
      </c>
      <c r="H30" s="374">
        <v>40.367903779999999</v>
      </c>
      <c r="I30" s="374">
        <v>40.367903779999999</v>
      </c>
      <c r="J30" s="374">
        <v>37.519324269999998</v>
      </c>
      <c r="K30" s="374">
        <v>34.879922149999999</v>
      </c>
      <c r="L30" s="375">
        <v>32.355695019999999</v>
      </c>
      <c r="M30" s="375">
        <v>31.180890990000002</v>
      </c>
      <c r="N30" s="375">
        <v>30.039045659999999</v>
      </c>
      <c r="O30" s="375">
        <v>28.905299070000002</v>
      </c>
      <c r="P30" s="375">
        <v>27.778225070000001</v>
      </c>
      <c r="Q30" s="375">
        <v>26.666440359999999</v>
      </c>
      <c r="R30" s="375">
        <v>26.572943169999999</v>
      </c>
      <c r="S30" s="375">
        <v>26.49352004</v>
      </c>
      <c r="T30" s="375">
        <v>26.416903080000001</v>
      </c>
      <c r="U30" s="375">
        <v>26.33262023</v>
      </c>
      <c r="V30" s="375">
        <v>26.240844989999999</v>
      </c>
      <c r="W30" s="375">
        <v>26.163529390000001</v>
      </c>
      <c r="X30" s="375">
        <v>26.09878776</v>
      </c>
      <c r="Y30" s="375">
        <v>26.032587670000002</v>
      </c>
      <c r="Z30" s="375">
        <v>25.957674860000001</v>
      </c>
      <c r="AA30" s="375">
        <v>25.893612510000001</v>
      </c>
      <c r="AB30" s="375">
        <v>25.82949906</v>
      </c>
      <c r="AC30" s="375">
        <v>25.76191665</v>
      </c>
      <c r="AD30" s="375">
        <v>25.691616809999999</v>
      </c>
      <c r="AE30" s="375">
        <v>25.61725491</v>
      </c>
      <c r="AF30" s="375">
        <v>25.542407990000001</v>
      </c>
      <c r="AG30" s="375">
        <v>25.47011024</v>
      </c>
      <c r="AH30" s="375">
        <v>25.397600010000001</v>
      </c>
      <c r="AI30" s="375">
        <v>25.322007970000001</v>
      </c>
      <c r="AJ30" s="375">
        <v>25.244983470000001</v>
      </c>
      <c r="AK30" s="375">
        <v>25.168645519999998</v>
      </c>
      <c r="AL30" s="375">
        <v>25.12397232</v>
      </c>
      <c r="AM30" s="375">
        <v>25.076703380000001</v>
      </c>
      <c r="AN30" s="375">
        <v>25.028542819999998</v>
      </c>
      <c r="AO30" s="375">
        <v>24.979654830000001</v>
      </c>
      <c r="AP30" s="375">
        <v>24.931035359999999</v>
      </c>
      <c r="AQ30" s="375">
        <v>24.884190350000001</v>
      </c>
      <c r="AR30" s="375">
        <v>24.83554513</v>
      </c>
      <c r="AS30" s="375">
        <v>24.783093999999998</v>
      </c>
      <c r="AT30" s="375">
        <v>24.728453999999999</v>
      </c>
      <c r="AU30" s="375">
        <v>24.67355186</v>
      </c>
      <c r="AV30" s="375">
        <v>24.617864579999999</v>
      </c>
      <c r="AW30" s="375">
        <v>24.5605984</v>
      </c>
      <c r="AX30" s="375">
        <v>24.50254503</v>
      </c>
      <c r="AY30" s="375">
        <v>24.444809490000001</v>
      </c>
      <c r="AZ30" s="375">
        <v>24.387205569999999</v>
      </c>
      <c r="BA30" s="375">
        <v>24.329454470000002</v>
      </c>
      <c r="BB30" s="375">
        <v>24.26970605</v>
      </c>
      <c r="BC30" s="375">
        <v>24.20783638</v>
      </c>
      <c r="BD30" s="375">
        <v>24.144770040000001</v>
      </c>
      <c r="BE30" s="375">
        <v>24.080578209999999</v>
      </c>
      <c r="BF30" s="375">
        <v>24.015327490000001</v>
      </c>
      <c r="BG30" s="375">
        <v>23.948527120000001</v>
      </c>
      <c r="BH30" s="375">
        <v>23.880612630000002</v>
      </c>
      <c r="BI30" s="375">
        <v>23.810884210000001</v>
      </c>
      <c r="BJ30" s="375">
        <v>23.738880959999999</v>
      </c>
      <c r="BK30" s="375">
        <v>23.665679359999999</v>
      </c>
      <c r="BL30" s="375">
        <v>23.58985479</v>
      </c>
      <c r="BM30" s="375">
        <v>23.511969300000001</v>
      </c>
      <c r="BN30" s="375">
        <v>23.43324814</v>
      </c>
      <c r="BO30" s="375">
        <v>23.35327843</v>
      </c>
      <c r="BP30" s="375">
        <v>23.27358371</v>
      </c>
      <c r="BQ30" s="375">
        <v>23.19348149</v>
      </c>
      <c r="BR30" s="375">
        <v>23.112857590000001</v>
      </c>
      <c r="BS30" s="375">
        <v>23.03087601</v>
      </c>
      <c r="BT30" s="375">
        <v>22.948016299999999</v>
      </c>
      <c r="BU30" s="375">
        <v>22.8647563</v>
      </c>
      <c r="BV30" s="375">
        <v>22.780944510000001</v>
      </c>
      <c r="BW30" s="375">
        <v>22.696151619999998</v>
      </c>
      <c r="BX30" s="375">
        <v>22.61093619</v>
      </c>
      <c r="BY30" s="375">
        <v>22.52557642</v>
      </c>
      <c r="BZ30" s="375">
        <v>22.440849100000001</v>
      </c>
      <c r="CA30" s="375">
        <v>22.35552775</v>
      </c>
      <c r="CB30" s="375">
        <v>22.269546590000001</v>
      </c>
      <c r="CC30" s="375">
        <v>22.181731039999999</v>
      </c>
      <c r="CD30" s="375">
        <v>22.093451160000001</v>
      </c>
      <c r="CE30" s="375">
        <v>22.004617929999998</v>
      </c>
      <c r="CF30" s="375">
        <v>21.914850250000001</v>
      </c>
      <c r="CG30" s="375">
        <v>21.822972270000001</v>
      </c>
      <c r="CH30" s="375">
        <v>21.729351149999999</v>
      </c>
      <c r="CI30" s="375">
        <v>21.634381579999999</v>
      </c>
      <c r="CJ30" s="375">
        <v>17.315369555564637</v>
      </c>
    </row>
    <row r="31" spans="2:88" x14ac:dyDescent="0.35">
      <c r="B31" s="510" t="s">
        <v>681</v>
      </c>
      <c r="C31" s="511" t="s">
        <v>682</v>
      </c>
      <c r="D31" s="512" t="s">
        <v>82</v>
      </c>
      <c r="E31" s="512" t="s">
        <v>366</v>
      </c>
      <c r="F31" s="513">
        <v>1</v>
      </c>
      <c r="G31" s="374">
        <v>78.559111450000003</v>
      </c>
      <c r="H31" s="374">
        <v>78.559111450000003</v>
      </c>
      <c r="I31" s="374">
        <v>78.559111450000003</v>
      </c>
      <c r="J31" s="374">
        <v>76.222527659999997</v>
      </c>
      <c r="K31" s="374">
        <v>74.029563240000002</v>
      </c>
      <c r="L31" s="375">
        <v>71.803040629999998</v>
      </c>
      <c r="M31" s="375">
        <v>72.415968179999993</v>
      </c>
      <c r="N31" s="375">
        <v>73.081935099999995</v>
      </c>
      <c r="O31" s="375">
        <v>73.746290070000001</v>
      </c>
      <c r="P31" s="375">
        <v>74.40580774</v>
      </c>
      <c r="Q31" s="375">
        <v>75.084850459999998</v>
      </c>
      <c r="R31" s="375">
        <v>74.945251830000004</v>
      </c>
      <c r="S31" s="375">
        <v>74.84495063</v>
      </c>
      <c r="T31" s="375">
        <v>74.752257420000007</v>
      </c>
      <c r="U31" s="375">
        <v>74.637528000000003</v>
      </c>
      <c r="V31" s="375">
        <v>74.501144949999997</v>
      </c>
      <c r="W31" s="375">
        <v>74.405428509999993</v>
      </c>
      <c r="X31" s="375">
        <v>74.345210829999999</v>
      </c>
      <c r="Y31" s="375">
        <v>74.280630250000002</v>
      </c>
      <c r="Z31" s="375">
        <v>74.190931079999999</v>
      </c>
      <c r="AA31" s="375">
        <v>74.131995180000004</v>
      </c>
      <c r="AB31" s="375">
        <v>74.072714680000004</v>
      </c>
      <c r="AC31" s="375">
        <v>74.003269700000004</v>
      </c>
      <c r="AD31" s="375">
        <v>73.925771299999994</v>
      </c>
      <c r="AE31" s="375">
        <v>73.836303110000003</v>
      </c>
      <c r="AF31" s="375">
        <v>73.745131819999997</v>
      </c>
      <c r="AG31" s="375">
        <v>73.660918069999994</v>
      </c>
      <c r="AH31" s="375">
        <v>73.575644600000004</v>
      </c>
      <c r="AI31" s="375">
        <v>73.480954030000007</v>
      </c>
      <c r="AJ31" s="375">
        <v>73.381580589999999</v>
      </c>
      <c r="AK31" s="375">
        <v>73.283664909999999</v>
      </c>
      <c r="AL31" s="375">
        <v>73.153589729999993</v>
      </c>
      <c r="AM31" s="375">
        <v>73.015956529999997</v>
      </c>
      <c r="AN31" s="375">
        <v>72.875727220000002</v>
      </c>
      <c r="AO31" s="375">
        <v>72.733379819999996</v>
      </c>
      <c r="AP31" s="375">
        <v>72.59181427</v>
      </c>
      <c r="AQ31" s="375">
        <v>72.455415439999996</v>
      </c>
      <c r="AR31" s="375">
        <v>72.313774899999999</v>
      </c>
      <c r="AS31" s="375">
        <v>72.161052720000001</v>
      </c>
      <c r="AT31" s="375">
        <v>72.001957169999997</v>
      </c>
      <c r="AU31" s="375">
        <v>71.842098350000001</v>
      </c>
      <c r="AV31" s="375">
        <v>71.679953420000004</v>
      </c>
      <c r="AW31" s="375">
        <v>71.513211220000002</v>
      </c>
      <c r="AX31" s="375">
        <v>71.344176930000003</v>
      </c>
      <c r="AY31" s="375">
        <v>71.176068090000001</v>
      </c>
      <c r="AZ31" s="375">
        <v>71.008342479999996</v>
      </c>
      <c r="BA31" s="375">
        <v>70.840188330000004</v>
      </c>
      <c r="BB31" s="375">
        <v>70.666218569999998</v>
      </c>
      <c r="BC31" s="375">
        <v>70.486072370000002</v>
      </c>
      <c r="BD31" s="375">
        <v>70.302441810000005</v>
      </c>
      <c r="BE31" s="375">
        <v>70.115534150000002</v>
      </c>
      <c r="BF31" s="375">
        <v>69.925543320000003</v>
      </c>
      <c r="BG31" s="375">
        <v>69.731040370000002</v>
      </c>
      <c r="BH31" s="375">
        <v>69.533293400000005</v>
      </c>
      <c r="BI31" s="375">
        <v>69.330264850000006</v>
      </c>
      <c r="BJ31" s="375">
        <v>69.120612629999997</v>
      </c>
      <c r="BK31" s="375">
        <v>68.907471200000003</v>
      </c>
      <c r="BL31" s="375">
        <v>68.686692440000002</v>
      </c>
      <c r="BM31" s="375">
        <v>68.459912880000005</v>
      </c>
      <c r="BN31" s="375">
        <v>68.230700100000007</v>
      </c>
      <c r="BO31" s="375">
        <v>67.997851920000002</v>
      </c>
      <c r="BP31" s="375">
        <v>67.765804419999995</v>
      </c>
      <c r="BQ31" s="375">
        <v>67.532570399999997</v>
      </c>
      <c r="BR31" s="375">
        <v>67.297817420000001</v>
      </c>
      <c r="BS31" s="375">
        <v>67.059111259999995</v>
      </c>
      <c r="BT31" s="375">
        <v>66.817848260000005</v>
      </c>
      <c r="BU31" s="375">
        <v>66.575419699999998</v>
      </c>
      <c r="BV31" s="375">
        <v>66.331384510000007</v>
      </c>
      <c r="BW31" s="375">
        <v>66.084492650000001</v>
      </c>
      <c r="BX31" s="375">
        <v>65.836370489999993</v>
      </c>
      <c r="BY31" s="375">
        <v>65.587828049999999</v>
      </c>
      <c r="BZ31" s="375">
        <v>65.341127099999994</v>
      </c>
      <c r="CA31" s="375">
        <v>65.092696529999998</v>
      </c>
      <c r="CB31" s="375">
        <v>64.842344769999997</v>
      </c>
      <c r="CC31" s="375">
        <v>64.586651810000006</v>
      </c>
      <c r="CD31" s="375">
        <v>64.329606870000006</v>
      </c>
      <c r="CE31" s="375">
        <v>64.070950710000005</v>
      </c>
      <c r="CF31" s="375">
        <v>63.809573739999998</v>
      </c>
      <c r="CG31" s="375">
        <v>63.542052200000001</v>
      </c>
      <c r="CH31" s="375">
        <v>63.269455139999998</v>
      </c>
      <c r="CI31" s="375">
        <v>62.99293179</v>
      </c>
      <c r="CJ31" s="375">
        <v>54.667623910031153</v>
      </c>
    </row>
    <row r="32" spans="2:88" x14ac:dyDescent="0.35">
      <c r="B32" s="510" t="s">
        <v>683</v>
      </c>
      <c r="C32" s="511" t="s">
        <v>684</v>
      </c>
      <c r="D32" s="512" t="s">
        <v>82</v>
      </c>
      <c r="E32" s="512" t="s">
        <v>366</v>
      </c>
      <c r="F32" s="513">
        <v>1</v>
      </c>
      <c r="G32" s="374">
        <v>22.164396539999998</v>
      </c>
      <c r="H32" s="374">
        <v>22.164396539999998</v>
      </c>
      <c r="I32" s="374">
        <v>22.164396539999998</v>
      </c>
      <c r="J32" s="374">
        <v>21.097447930000001</v>
      </c>
      <c r="K32" s="374">
        <v>20.104513619999999</v>
      </c>
      <c r="L32" s="375">
        <v>19.134873240000001</v>
      </c>
      <c r="M32" s="375">
        <v>18.939219529999999</v>
      </c>
      <c r="N32" s="375">
        <v>18.75994146</v>
      </c>
      <c r="O32" s="375">
        <v>18.582417240000002</v>
      </c>
      <c r="P32" s="375">
        <v>18.405794100000001</v>
      </c>
      <c r="Q32" s="375">
        <v>18.23598015</v>
      </c>
      <c r="R32" s="375">
        <v>18.05621356</v>
      </c>
      <c r="S32" s="375">
        <v>17.886381620000002</v>
      </c>
      <c r="T32" s="375">
        <v>17.718743440000001</v>
      </c>
      <c r="U32" s="375">
        <v>17.546285650000002</v>
      </c>
      <c r="V32" s="375">
        <v>17.36922611</v>
      </c>
      <c r="W32" s="375">
        <v>17.202099329999999</v>
      </c>
      <c r="X32" s="375">
        <v>17.043483129999998</v>
      </c>
      <c r="Y32" s="375">
        <v>16.884109639999998</v>
      </c>
      <c r="Z32" s="375">
        <v>16.71932692</v>
      </c>
      <c r="AA32" s="375">
        <v>16.56176615</v>
      </c>
      <c r="AB32" s="375">
        <v>16.404358469999998</v>
      </c>
      <c r="AC32" s="375">
        <v>16.24495026</v>
      </c>
      <c r="AD32" s="375">
        <v>16.084060189999999</v>
      </c>
      <c r="AE32" s="375">
        <v>15.9208908</v>
      </c>
      <c r="AF32" s="375">
        <v>15.75770575</v>
      </c>
      <c r="AG32" s="375">
        <v>15.59703783</v>
      </c>
      <c r="AH32" s="375">
        <v>15.43749659</v>
      </c>
      <c r="AI32" s="375">
        <v>15.277505980000001</v>
      </c>
      <c r="AJ32" s="375">
        <v>15.11816286</v>
      </c>
      <c r="AK32" s="375">
        <v>14.96077167</v>
      </c>
      <c r="AL32" s="375">
        <v>14.93421698</v>
      </c>
      <c r="AM32" s="375">
        <v>14.906119329999999</v>
      </c>
      <c r="AN32" s="375">
        <v>14.877491689999999</v>
      </c>
      <c r="AO32" s="375">
        <v>14.848431639999999</v>
      </c>
      <c r="AP32" s="375">
        <v>14.8195312</v>
      </c>
      <c r="AQ32" s="375">
        <v>14.79168555</v>
      </c>
      <c r="AR32" s="375">
        <v>14.762769799999999</v>
      </c>
      <c r="AS32" s="375">
        <v>14.73159175</v>
      </c>
      <c r="AT32" s="375">
        <v>14.69911259</v>
      </c>
      <c r="AU32" s="375">
        <v>14.6664776</v>
      </c>
      <c r="AV32" s="375">
        <v>14.63337591</v>
      </c>
      <c r="AW32" s="375">
        <v>14.59933569</v>
      </c>
      <c r="AX32" s="375">
        <v>14.56482755</v>
      </c>
      <c r="AY32" s="375">
        <v>14.53050833</v>
      </c>
      <c r="AZ32" s="375">
        <v>14.49626735</v>
      </c>
      <c r="BA32" s="375">
        <v>14.46193888</v>
      </c>
      <c r="BB32" s="375">
        <v>14.42642317</v>
      </c>
      <c r="BC32" s="375">
        <v>14.389646539999999</v>
      </c>
      <c r="BD32" s="375">
        <v>14.352158579999999</v>
      </c>
      <c r="BE32" s="375">
        <v>14.31400161</v>
      </c>
      <c r="BF32" s="375">
        <v>14.275215210000001</v>
      </c>
      <c r="BG32" s="375">
        <v>14.235507670000001</v>
      </c>
      <c r="BH32" s="375">
        <v>14.195137860000001</v>
      </c>
      <c r="BI32" s="375">
        <v>14.153689829999999</v>
      </c>
      <c r="BJ32" s="375">
        <v>14.11088958</v>
      </c>
      <c r="BK32" s="375">
        <v>14.06737702</v>
      </c>
      <c r="BL32" s="375">
        <v>14.022305299999999</v>
      </c>
      <c r="BM32" s="375">
        <v>13.976008520000001</v>
      </c>
      <c r="BN32" s="375">
        <v>13.92921501</v>
      </c>
      <c r="BO32" s="375">
        <v>13.88167934</v>
      </c>
      <c r="BP32" s="375">
        <v>13.83430712</v>
      </c>
      <c r="BQ32" s="375">
        <v>13.78669268</v>
      </c>
      <c r="BR32" s="375">
        <v>13.738768139999999</v>
      </c>
      <c r="BS32" s="375">
        <v>13.69003657</v>
      </c>
      <c r="BT32" s="375">
        <v>13.640783020000001</v>
      </c>
      <c r="BU32" s="375">
        <v>13.59129152</v>
      </c>
      <c r="BV32" s="375">
        <v>13.54147203</v>
      </c>
      <c r="BW32" s="375">
        <v>13.49106935</v>
      </c>
      <c r="BX32" s="375">
        <v>13.440415509999999</v>
      </c>
      <c r="BY32" s="375">
        <v>13.38967588</v>
      </c>
      <c r="BZ32" s="375">
        <v>13.33931218</v>
      </c>
      <c r="CA32" s="375">
        <v>13.288595369999999</v>
      </c>
      <c r="CB32" s="375">
        <v>13.237486369999999</v>
      </c>
      <c r="CC32" s="375">
        <v>13.185286959999999</v>
      </c>
      <c r="CD32" s="375">
        <v>13.132811540000001</v>
      </c>
      <c r="CE32" s="375">
        <v>13.080007200000001</v>
      </c>
      <c r="CF32" s="375">
        <v>13.026647410000001</v>
      </c>
      <c r="CG32" s="375">
        <v>12.972033209999999</v>
      </c>
      <c r="CH32" s="375">
        <v>12.91638285</v>
      </c>
      <c r="CI32" s="375">
        <v>12.85993094</v>
      </c>
      <c r="CJ32" s="375">
        <v>10.740557273762766</v>
      </c>
    </row>
    <row r="33" spans="2:88" x14ac:dyDescent="0.35">
      <c r="B33" s="510" t="s">
        <v>685</v>
      </c>
      <c r="C33" s="511" t="s">
        <v>686</v>
      </c>
      <c r="D33" s="512" t="s">
        <v>82</v>
      </c>
      <c r="E33" s="512" t="s">
        <v>366</v>
      </c>
      <c r="F33" s="513">
        <v>1</v>
      </c>
      <c r="G33" s="374">
        <v>17.62107726</v>
      </c>
      <c r="H33" s="374">
        <v>17.62107726</v>
      </c>
      <c r="I33" s="374">
        <v>17.62107726</v>
      </c>
      <c r="J33" s="374">
        <v>16.86522708</v>
      </c>
      <c r="K33" s="374">
        <v>16.160629419999999</v>
      </c>
      <c r="L33" s="375">
        <v>15.467126609999999</v>
      </c>
      <c r="M33" s="375">
        <v>15.39510361</v>
      </c>
      <c r="N33" s="375">
        <v>15.3357797</v>
      </c>
      <c r="O33" s="375">
        <v>15.27734963</v>
      </c>
      <c r="P33" s="375">
        <v>15.21912247</v>
      </c>
      <c r="Q33" s="375">
        <v>15.166014029999999</v>
      </c>
      <c r="R33" s="375">
        <v>15.12666812</v>
      </c>
      <c r="S33" s="375">
        <v>15.09528955</v>
      </c>
      <c r="T33" s="375">
        <v>15.065474119999999</v>
      </c>
      <c r="U33" s="375">
        <v>15.031248400000001</v>
      </c>
      <c r="V33" s="375">
        <v>14.99269921</v>
      </c>
      <c r="W33" s="375">
        <v>14.962368339999999</v>
      </c>
      <c r="X33" s="375">
        <v>14.93919921</v>
      </c>
      <c r="Y33" s="375">
        <v>14.91517194</v>
      </c>
      <c r="Z33" s="375">
        <v>14.886123939999999</v>
      </c>
      <c r="AA33" s="375">
        <v>14.863270590000001</v>
      </c>
      <c r="AB33" s="375">
        <v>14.840365719999999</v>
      </c>
      <c r="AC33" s="375">
        <v>14.815443569999999</v>
      </c>
      <c r="AD33" s="375">
        <v>14.788930990000001</v>
      </c>
      <c r="AE33" s="375">
        <v>14.76004867</v>
      </c>
      <c r="AF33" s="375">
        <v>14.73085277</v>
      </c>
      <c r="AG33" s="375">
        <v>14.703117990000001</v>
      </c>
      <c r="AH33" s="375">
        <v>14.675264</v>
      </c>
      <c r="AI33" s="375">
        <v>14.64563588</v>
      </c>
      <c r="AJ33" s="375">
        <v>14.61518521</v>
      </c>
      <c r="AK33" s="375">
        <v>14.58513788</v>
      </c>
      <c r="AL33" s="375">
        <v>14.559249919999999</v>
      </c>
      <c r="AM33" s="375">
        <v>14.53185774</v>
      </c>
      <c r="AN33" s="375">
        <v>14.503948879999999</v>
      </c>
      <c r="AO33" s="375">
        <v>14.475618470000001</v>
      </c>
      <c r="AP33" s="375">
        <v>14.447443659999999</v>
      </c>
      <c r="AQ33" s="375">
        <v>14.42029715</v>
      </c>
      <c r="AR33" s="375">
        <v>14.39210742</v>
      </c>
      <c r="AS33" s="375">
        <v>14.36171219</v>
      </c>
      <c r="AT33" s="375">
        <v>14.330048509999999</v>
      </c>
      <c r="AU33" s="375">
        <v>14.29823292</v>
      </c>
      <c r="AV33" s="375">
        <v>14.26596234</v>
      </c>
      <c r="AW33" s="375">
        <v>14.2327768</v>
      </c>
      <c r="AX33" s="375">
        <v>14.19913508</v>
      </c>
      <c r="AY33" s="375">
        <v>14.16567755</v>
      </c>
      <c r="AZ33" s="375">
        <v>14.132296289999999</v>
      </c>
      <c r="BA33" s="375">
        <v>14.098829739999999</v>
      </c>
      <c r="BB33" s="375">
        <v>14.064205749999999</v>
      </c>
      <c r="BC33" s="375">
        <v>14.0283525</v>
      </c>
      <c r="BD33" s="375">
        <v>13.991805790000001</v>
      </c>
      <c r="BE33" s="375">
        <v>13.95460686</v>
      </c>
      <c r="BF33" s="375">
        <v>13.91679431</v>
      </c>
      <c r="BG33" s="375">
        <v>13.878083739999999</v>
      </c>
      <c r="BH33" s="375">
        <v>13.838727540000001</v>
      </c>
      <c r="BI33" s="375">
        <v>13.79832017</v>
      </c>
      <c r="BJ33" s="375">
        <v>13.756594550000001</v>
      </c>
      <c r="BK33" s="375">
        <v>13.7141745</v>
      </c>
      <c r="BL33" s="375">
        <v>13.67023444</v>
      </c>
      <c r="BM33" s="375">
        <v>13.625100079999999</v>
      </c>
      <c r="BN33" s="375">
        <v>13.579481449999999</v>
      </c>
      <c r="BO33" s="375">
        <v>13.5331393</v>
      </c>
      <c r="BP33" s="375">
        <v>13.4869565</v>
      </c>
      <c r="BQ33" s="375">
        <v>13.440537559999999</v>
      </c>
      <c r="BR33" s="375">
        <v>13.39381631</v>
      </c>
      <c r="BS33" s="375">
        <v>13.346308280000001</v>
      </c>
      <c r="BT33" s="375">
        <v>13.29829138</v>
      </c>
      <c r="BU33" s="375">
        <v>13.250042519999999</v>
      </c>
      <c r="BV33" s="375">
        <v>13.201473890000001</v>
      </c>
      <c r="BW33" s="375">
        <v>13.152336719999999</v>
      </c>
      <c r="BX33" s="375">
        <v>13.102954690000001</v>
      </c>
      <c r="BY33" s="375">
        <v>13.053489020000001</v>
      </c>
      <c r="BZ33" s="375">
        <v>13.004389850000001</v>
      </c>
      <c r="CA33" s="375">
        <v>12.954946440000001</v>
      </c>
      <c r="CB33" s="375">
        <v>12.905120670000001</v>
      </c>
      <c r="CC33" s="375">
        <v>12.85423188</v>
      </c>
      <c r="CD33" s="375">
        <v>12.80307402</v>
      </c>
      <c r="CE33" s="375">
        <v>12.751595480000001</v>
      </c>
      <c r="CF33" s="375">
        <v>12.69957544</v>
      </c>
      <c r="CG33" s="375">
        <v>12.646332490000001</v>
      </c>
      <c r="CH33" s="375">
        <v>12.59207939</v>
      </c>
      <c r="CI33" s="375">
        <v>12.53704488</v>
      </c>
      <c r="CJ33" s="375">
        <v>10.57952273960225</v>
      </c>
    </row>
    <row r="34" spans="2:88" x14ac:dyDescent="0.35">
      <c r="B34" s="510" t="s">
        <v>687</v>
      </c>
      <c r="C34" s="511" t="s">
        <v>688</v>
      </c>
      <c r="D34" s="512" t="s">
        <v>82</v>
      </c>
      <c r="E34" s="512" t="s">
        <v>366</v>
      </c>
      <c r="F34" s="513">
        <v>1</v>
      </c>
      <c r="G34" s="374">
        <v>23.053027790000002</v>
      </c>
      <c r="H34" s="374">
        <v>23.053027790000002</v>
      </c>
      <c r="I34" s="374">
        <v>23.053027790000002</v>
      </c>
      <c r="J34" s="374">
        <v>22.080342949999999</v>
      </c>
      <c r="K34" s="374">
        <v>21.173381809999999</v>
      </c>
      <c r="L34" s="375">
        <v>20.279636570000001</v>
      </c>
      <c r="M34" s="375">
        <v>20.20002685</v>
      </c>
      <c r="N34" s="375">
        <v>20.136974940000002</v>
      </c>
      <c r="O34" s="375">
        <v>20.075004830000001</v>
      </c>
      <c r="P34" s="375">
        <v>20.01321033</v>
      </c>
      <c r="Q34" s="375">
        <v>19.9580609</v>
      </c>
      <c r="R34" s="375">
        <v>19.920954640000001</v>
      </c>
      <c r="S34" s="375">
        <v>19.894293909999998</v>
      </c>
      <c r="T34" s="375">
        <v>19.869655420000001</v>
      </c>
      <c r="U34" s="375">
        <v>19.83915957</v>
      </c>
      <c r="V34" s="375">
        <v>19.802908030000001</v>
      </c>
      <c r="W34" s="375">
        <v>19.77746595</v>
      </c>
      <c r="X34" s="375">
        <v>19.761459689999999</v>
      </c>
      <c r="Y34" s="375">
        <v>19.744293729999999</v>
      </c>
      <c r="Z34" s="375">
        <v>19.720451090000001</v>
      </c>
      <c r="AA34" s="375">
        <v>19.704785529999999</v>
      </c>
      <c r="AB34" s="375">
        <v>19.689028369999999</v>
      </c>
      <c r="AC34" s="375">
        <v>19.67056942</v>
      </c>
      <c r="AD34" s="375">
        <v>19.64996983</v>
      </c>
      <c r="AE34" s="375">
        <v>19.626188580000001</v>
      </c>
      <c r="AF34" s="375">
        <v>19.601954630000002</v>
      </c>
      <c r="AG34" s="375">
        <v>19.579570050000001</v>
      </c>
      <c r="AH34" s="375">
        <v>19.556903779999999</v>
      </c>
      <c r="AI34" s="375">
        <v>19.53173439</v>
      </c>
      <c r="AJ34" s="375">
        <v>19.505320260000001</v>
      </c>
      <c r="AK34" s="375">
        <v>19.479293609999999</v>
      </c>
      <c r="AL34" s="375">
        <v>19.444718739999999</v>
      </c>
      <c r="AM34" s="375">
        <v>19.408134910000001</v>
      </c>
      <c r="AN34" s="375">
        <v>19.370861009999999</v>
      </c>
      <c r="AO34" s="375">
        <v>19.33302411</v>
      </c>
      <c r="AP34" s="375">
        <v>19.295395030000002</v>
      </c>
      <c r="AQ34" s="375">
        <v>19.259139300000001</v>
      </c>
      <c r="AR34" s="375">
        <v>19.221490289999998</v>
      </c>
      <c r="AS34" s="375">
        <v>19.180895700000001</v>
      </c>
      <c r="AT34" s="375">
        <v>19.138607019999998</v>
      </c>
      <c r="AU34" s="375">
        <v>19.096115470000001</v>
      </c>
      <c r="AV34" s="375">
        <v>19.053016249999999</v>
      </c>
      <c r="AW34" s="375">
        <v>19.00869505</v>
      </c>
      <c r="AX34" s="375">
        <v>18.96376459</v>
      </c>
      <c r="AY34" s="375">
        <v>18.91908012</v>
      </c>
      <c r="AZ34" s="375">
        <v>18.874497519999998</v>
      </c>
      <c r="BA34" s="375">
        <v>18.829801010000001</v>
      </c>
      <c r="BB34" s="375">
        <v>18.783558670000001</v>
      </c>
      <c r="BC34" s="375">
        <v>18.735674599999999</v>
      </c>
      <c r="BD34" s="375">
        <v>18.68686435</v>
      </c>
      <c r="BE34" s="375">
        <v>18.637183029999999</v>
      </c>
      <c r="BF34" s="375">
        <v>18.58668218</v>
      </c>
      <c r="BG34" s="375">
        <v>18.534981980000001</v>
      </c>
      <c r="BH34" s="375">
        <v>18.482419499999999</v>
      </c>
      <c r="BI34" s="375">
        <v>18.428453139999998</v>
      </c>
      <c r="BJ34" s="375">
        <v>18.37272617</v>
      </c>
      <c r="BK34" s="375">
        <v>18.316071730000001</v>
      </c>
      <c r="BL34" s="375">
        <v>18.25738724</v>
      </c>
      <c r="BM34" s="375">
        <v>18.1971077</v>
      </c>
      <c r="BN34" s="375">
        <v>18.136181400000002</v>
      </c>
      <c r="BO34" s="375">
        <v>18.07428878</v>
      </c>
      <c r="BP34" s="375">
        <v>18.01260898</v>
      </c>
      <c r="BQ34" s="375">
        <v>17.950613799999999</v>
      </c>
      <c r="BR34" s="375">
        <v>17.888214869999999</v>
      </c>
      <c r="BS34" s="375">
        <v>17.824765159999998</v>
      </c>
      <c r="BT34" s="375">
        <v>17.760635820000001</v>
      </c>
      <c r="BU34" s="375">
        <v>17.69619668</v>
      </c>
      <c r="BV34" s="375">
        <v>17.631330470000002</v>
      </c>
      <c r="BW34" s="375">
        <v>17.565704950000001</v>
      </c>
      <c r="BX34" s="375">
        <v>17.499752399999998</v>
      </c>
      <c r="BY34" s="375">
        <v>17.433688140000001</v>
      </c>
      <c r="BZ34" s="375">
        <v>17.368113359999999</v>
      </c>
      <c r="CA34" s="375">
        <v>17.302078829999999</v>
      </c>
      <c r="CB34" s="375">
        <v>17.23553364</v>
      </c>
      <c r="CC34" s="375">
        <v>17.167568719999998</v>
      </c>
      <c r="CD34" s="375">
        <v>17.09924444</v>
      </c>
      <c r="CE34" s="375">
        <v>17.03049188</v>
      </c>
      <c r="CF34" s="375">
        <v>16.96101612</v>
      </c>
      <c r="CG34" s="375">
        <v>16.88990708</v>
      </c>
      <c r="CH34" s="375">
        <v>16.817448939999998</v>
      </c>
      <c r="CI34" s="375">
        <v>16.743947169999998</v>
      </c>
      <c r="CJ34" s="375">
        <v>14.215917398088109</v>
      </c>
    </row>
    <row r="35" spans="2:88" x14ac:dyDescent="0.35">
      <c r="B35" s="510" t="s">
        <v>689</v>
      </c>
      <c r="C35" s="511" t="s">
        <v>690</v>
      </c>
      <c r="D35" s="512" t="s">
        <v>82</v>
      </c>
      <c r="E35" s="512" t="s">
        <v>366</v>
      </c>
      <c r="F35" s="513">
        <v>1</v>
      </c>
      <c r="G35" s="374">
        <v>1.7723236229999999</v>
      </c>
      <c r="H35" s="374">
        <v>1.7723236229999999</v>
      </c>
      <c r="I35" s="374">
        <v>1.7723236229999999</v>
      </c>
      <c r="J35" s="374">
        <v>1.744548043</v>
      </c>
      <c r="K35" s="374">
        <v>1.7178022120000001</v>
      </c>
      <c r="L35" s="375">
        <v>1.688157404</v>
      </c>
      <c r="M35" s="375">
        <v>1.7240744990000001</v>
      </c>
      <c r="N35" s="375">
        <v>1.760952224</v>
      </c>
      <c r="O35" s="375">
        <v>1.7975089529999999</v>
      </c>
      <c r="P35" s="375">
        <v>1.8336730189999999</v>
      </c>
      <c r="Q35" s="375">
        <v>1.8700515129999999</v>
      </c>
      <c r="R35" s="375">
        <v>1.907969858</v>
      </c>
      <c r="S35" s="375">
        <v>1.9466502020000001</v>
      </c>
      <c r="T35" s="375">
        <v>1.9853147330000001</v>
      </c>
      <c r="U35" s="375">
        <v>2.0231728370000002</v>
      </c>
      <c r="V35" s="375">
        <v>2.0601978120000002</v>
      </c>
      <c r="W35" s="375">
        <v>2.0981151649999998</v>
      </c>
      <c r="X35" s="375">
        <v>2.1368417339999999</v>
      </c>
      <c r="Y35" s="375">
        <v>2.175266825</v>
      </c>
      <c r="Z35" s="375">
        <v>2.2127676429999998</v>
      </c>
      <c r="AA35" s="375">
        <v>2.2509991189999998</v>
      </c>
      <c r="AB35" s="375">
        <v>2.289049973</v>
      </c>
      <c r="AC35" s="375">
        <v>2.3266096539999999</v>
      </c>
      <c r="AD35" s="375">
        <v>2.363732642</v>
      </c>
      <c r="AE35" s="375">
        <v>2.4002775060000001</v>
      </c>
      <c r="AF35" s="375">
        <v>2.4365631730000001</v>
      </c>
      <c r="AG35" s="375">
        <v>2.4728860419999998</v>
      </c>
      <c r="AH35" s="375">
        <v>2.5089857599999998</v>
      </c>
      <c r="AI35" s="375">
        <v>2.5445737369999999</v>
      </c>
      <c r="AJ35" s="375">
        <v>2.579802011</v>
      </c>
      <c r="AK35" s="375">
        <v>2.6148870340000001</v>
      </c>
      <c r="AL35" s="375">
        <v>2.6500793659999999</v>
      </c>
      <c r="AM35" s="375">
        <v>2.6848506429999999</v>
      </c>
      <c r="AN35" s="375">
        <v>2.719376644</v>
      </c>
      <c r="AO35" s="375">
        <v>2.7536697389999998</v>
      </c>
      <c r="AP35" s="375">
        <v>2.7878378389999998</v>
      </c>
      <c r="AQ35" s="375">
        <v>2.8220515320000001</v>
      </c>
      <c r="AR35" s="375">
        <v>2.8559111449999999</v>
      </c>
      <c r="AS35" s="375">
        <v>2.8891728200000002</v>
      </c>
      <c r="AT35" s="375">
        <v>2.922008065</v>
      </c>
      <c r="AU35" s="375">
        <v>2.954640124</v>
      </c>
      <c r="AV35" s="375">
        <v>2.9870028240000002</v>
      </c>
      <c r="AW35" s="375">
        <v>3.0189948649999998</v>
      </c>
      <c r="AX35" s="375">
        <v>3.0507058539999998</v>
      </c>
      <c r="AY35" s="375">
        <v>3.0822742889999999</v>
      </c>
      <c r="AZ35" s="375">
        <v>3.1136764509999999</v>
      </c>
      <c r="BA35" s="375">
        <v>3.1448754889999999</v>
      </c>
      <c r="BB35" s="375">
        <v>3.175631498</v>
      </c>
      <c r="BC35" s="375">
        <v>3.205917124</v>
      </c>
      <c r="BD35" s="375">
        <v>3.2358461869999999</v>
      </c>
      <c r="BE35" s="375">
        <v>3.2654212220000001</v>
      </c>
      <c r="BF35" s="375">
        <v>3.2946488679999999</v>
      </c>
      <c r="BG35" s="375">
        <v>3.323454554</v>
      </c>
      <c r="BH35" s="375">
        <v>3.3518906249999998</v>
      </c>
      <c r="BI35" s="375">
        <v>3.3798552810000002</v>
      </c>
      <c r="BJ35" s="375">
        <v>3.4072723200000001</v>
      </c>
      <c r="BK35" s="375">
        <v>3.4342871389999998</v>
      </c>
      <c r="BL35" s="375">
        <v>3.4606836460000001</v>
      </c>
      <c r="BM35" s="375">
        <v>3.4865355070000001</v>
      </c>
      <c r="BN35" s="375">
        <v>3.512015152</v>
      </c>
      <c r="BO35" s="375">
        <v>3.5370546890000001</v>
      </c>
      <c r="BP35" s="375">
        <v>3.5618841159999999</v>
      </c>
      <c r="BQ35" s="375">
        <v>3.586397823</v>
      </c>
      <c r="BR35" s="375">
        <v>3.6105760359999999</v>
      </c>
      <c r="BS35" s="375">
        <v>3.634282985</v>
      </c>
      <c r="BT35" s="375">
        <v>3.657591381</v>
      </c>
      <c r="BU35" s="375">
        <v>3.6805725950000001</v>
      </c>
      <c r="BV35" s="375">
        <v>3.7031987499999999</v>
      </c>
      <c r="BW35" s="375">
        <v>3.7253994530000001</v>
      </c>
      <c r="BX35" s="375">
        <v>3.7472612550000002</v>
      </c>
      <c r="BY35" s="375">
        <v>3.768828692</v>
      </c>
      <c r="BZ35" s="375">
        <v>3.7902309459999999</v>
      </c>
      <c r="CA35" s="375">
        <v>3.8112645939999998</v>
      </c>
      <c r="CB35" s="375">
        <v>3.831914158</v>
      </c>
      <c r="CC35" s="375">
        <v>3.8519712130000001</v>
      </c>
      <c r="CD35" s="375">
        <v>3.8716697579999999</v>
      </c>
      <c r="CE35" s="375">
        <v>3.890990521</v>
      </c>
      <c r="CF35" s="375">
        <v>3.9098628839999998</v>
      </c>
      <c r="CG35" s="375">
        <v>3.9280694550000002</v>
      </c>
      <c r="CH35" s="375">
        <v>3.9456694579999998</v>
      </c>
      <c r="CI35" s="375">
        <v>3.9627255990000001</v>
      </c>
      <c r="CJ35" s="375">
        <v>3.4245827840166063</v>
      </c>
    </row>
    <row r="36" spans="2:88" x14ac:dyDescent="0.35">
      <c r="B36" s="510" t="s">
        <v>691</v>
      </c>
      <c r="C36" s="511" t="s">
        <v>692</v>
      </c>
      <c r="D36" s="512" t="s">
        <v>82</v>
      </c>
      <c r="E36" s="512" t="s">
        <v>366</v>
      </c>
      <c r="F36" s="513">
        <v>1</v>
      </c>
      <c r="G36" s="373"/>
      <c r="H36" s="374"/>
      <c r="I36" s="374"/>
      <c r="J36" s="374"/>
      <c r="K36" s="374"/>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375"/>
      <c r="BA36" s="375"/>
      <c r="BB36" s="375"/>
      <c r="BC36" s="375"/>
      <c r="BD36" s="375"/>
      <c r="BE36" s="375"/>
      <c r="BF36" s="375"/>
      <c r="BG36" s="375"/>
      <c r="BH36" s="375"/>
      <c r="BI36" s="375"/>
      <c r="BJ36" s="375"/>
      <c r="BK36" s="375"/>
      <c r="BL36" s="375"/>
      <c r="BM36" s="375"/>
      <c r="BN36" s="375"/>
      <c r="BO36" s="375"/>
      <c r="BP36" s="375"/>
      <c r="BQ36" s="375"/>
      <c r="BR36" s="375"/>
      <c r="BS36" s="375"/>
      <c r="BT36" s="375"/>
      <c r="BU36" s="375"/>
      <c r="BV36" s="375"/>
      <c r="BW36" s="375"/>
      <c r="BX36" s="375"/>
      <c r="BY36" s="375"/>
      <c r="BZ36" s="375"/>
      <c r="CA36" s="375"/>
      <c r="CB36" s="375"/>
      <c r="CC36" s="375"/>
      <c r="CD36" s="375"/>
      <c r="CE36" s="375"/>
      <c r="CF36" s="375"/>
      <c r="CG36" s="375"/>
      <c r="CH36" s="375"/>
      <c r="CI36" s="375"/>
      <c r="CJ36" s="375"/>
    </row>
    <row r="37" spans="2:88" x14ac:dyDescent="0.35">
      <c r="B37" s="510" t="s">
        <v>693</v>
      </c>
      <c r="C37" s="511" t="s">
        <v>692</v>
      </c>
      <c r="D37" s="512" t="s">
        <v>82</v>
      </c>
      <c r="E37" s="512" t="s">
        <v>366</v>
      </c>
      <c r="F37" s="513">
        <v>1</v>
      </c>
      <c r="G37" s="373"/>
      <c r="H37" s="374"/>
      <c r="I37" s="374"/>
      <c r="J37" s="374"/>
      <c r="K37" s="374"/>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5"/>
      <c r="AW37" s="375"/>
      <c r="AX37" s="375"/>
      <c r="AY37" s="375"/>
      <c r="AZ37" s="375"/>
      <c r="BA37" s="375"/>
      <c r="BB37" s="375"/>
      <c r="BC37" s="375"/>
      <c r="BD37" s="375"/>
      <c r="BE37" s="375"/>
      <c r="BF37" s="375"/>
      <c r="BG37" s="375"/>
      <c r="BH37" s="375"/>
      <c r="BI37" s="375"/>
      <c r="BJ37" s="375"/>
      <c r="BK37" s="375"/>
      <c r="BL37" s="375"/>
      <c r="BM37" s="375"/>
      <c r="BN37" s="375"/>
      <c r="BO37" s="375"/>
      <c r="BP37" s="375"/>
      <c r="BQ37" s="375"/>
      <c r="BR37" s="375"/>
      <c r="BS37" s="375"/>
      <c r="BT37" s="375"/>
      <c r="BU37" s="375"/>
      <c r="BV37" s="375"/>
      <c r="BW37" s="375"/>
      <c r="BX37" s="375"/>
      <c r="BY37" s="375"/>
      <c r="BZ37" s="375"/>
      <c r="CA37" s="375"/>
      <c r="CB37" s="375"/>
      <c r="CC37" s="375"/>
      <c r="CD37" s="375"/>
      <c r="CE37" s="375"/>
      <c r="CF37" s="375"/>
      <c r="CG37" s="375"/>
      <c r="CH37" s="375"/>
      <c r="CI37" s="375"/>
      <c r="CJ37" s="375"/>
    </row>
    <row r="38" spans="2:88" ht="14.5" thickBot="1" x14ac:dyDescent="0.4">
      <c r="B38" s="514" t="s">
        <v>694</v>
      </c>
      <c r="C38" s="515" t="s">
        <v>692</v>
      </c>
      <c r="D38" s="516" t="s">
        <v>82</v>
      </c>
      <c r="E38" s="516" t="s">
        <v>366</v>
      </c>
      <c r="F38" s="517">
        <v>1</v>
      </c>
      <c r="G38" s="379"/>
      <c r="H38" s="380"/>
      <c r="I38" s="380"/>
      <c r="J38" s="380"/>
      <c r="K38" s="380"/>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1"/>
      <c r="BW38" s="381"/>
      <c r="BX38" s="381"/>
      <c r="BY38" s="381"/>
      <c r="BZ38" s="381"/>
      <c r="CA38" s="381"/>
      <c r="CB38" s="381"/>
      <c r="CC38" s="381"/>
      <c r="CD38" s="381"/>
      <c r="CE38" s="381"/>
      <c r="CF38" s="381"/>
      <c r="CG38" s="381"/>
      <c r="CH38" s="381"/>
      <c r="CI38" s="381"/>
      <c r="CJ38" s="381"/>
    </row>
    <row r="39" spans="2:88" ht="14.5" thickBot="1" x14ac:dyDescent="0.4"/>
    <row r="40" spans="2:88" ht="87.75" customHeight="1" x14ac:dyDescent="0.35">
      <c r="B40" s="504" t="s">
        <v>695</v>
      </c>
    </row>
    <row r="41" spans="2:88" ht="13.5" customHeight="1" thickBot="1" x14ac:dyDescent="0.4">
      <c r="B41" s="518" t="s">
        <v>65</v>
      </c>
      <c r="C41" s="519" t="s">
        <v>218</v>
      </c>
      <c r="D41" s="519" t="s">
        <v>66</v>
      </c>
      <c r="E41" s="519" t="s">
        <v>219</v>
      </c>
      <c r="F41" s="520" t="s">
        <v>220</v>
      </c>
      <c r="G41" s="521" t="s">
        <v>221</v>
      </c>
      <c r="H41" s="519" t="s">
        <v>222</v>
      </c>
      <c r="I41" s="519" t="s">
        <v>223</v>
      </c>
      <c r="J41" s="519" t="s">
        <v>224</v>
      </c>
      <c r="K41" s="519" t="s">
        <v>225</v>
      </c>
      <c r="L41" s="519" t="s">
        <v>226</v>
      </c>
      <c r="M41" s="519" t="s">
        <v>227</v>
      </c>
      <c r="N41" s="519" t="s">
        <v>228</v>
      </c>
      <c r="O41" s="519" t="s">
        <v>229</v>
      </c>
      <c r="P41" s="519" t="s">
        <v>230</v>
      </c>
      <c r="Q41" s="519" t="s">
        <v>231</v>
      </c>
      <c r="R41" s="519" t="s">
        <v>232</v>
      </c>
      <c r="S41" s="519" t="s">
        <v>233</v>
      </c>
      <c r="T41" s="519" t="s">
        <v>234</v>
      </c>
      <c r="U41" s="519" t="s">
        <v>235</v>
      </c>
      <c r="V41" s="519" t="s">
        <v>236</v>
      </c>
      <c r="W41" s="519" t="s">
        <v>237</v>
      </c>
      <c r="X41" s="519" t="s">
        <v>238</v>
      </c>
      <c r="Y41" s="519" t="s">
        <v>239</v>
      </c>
      <c r="Z41" s="519" t="s">
        <v>240</v>
      </c>
      <c r="AA41" s="519" t="s">
        <v>241</v>
      </c>
      <c r="AB41" s="519" t="s">
        <v>242</v>
      </c>
      <c r="AC41" s="519" t="s">
        <v>243</v>
      </c>
      <c r="AD41" s="519" t="s">
        <v>244</v>
      </c>
      <c r="AE41" s="519" t="s">
        <v>245</v>
      </c>
      <c r="AF41" s="519" t="s">
        <v>246</v>
      </c>
      <c r="AG41" s="519" t="s">
        <v>247</v>
      </c>
      <c r="AH41" s="519" t="s">
        <v>248</v>
      </c>
      <c r="AI41" s="519" t="s">
        <v>249</v>
      </c>
      <c r="AJ41" s="519" t="s">
        <v>250</v>
      </c>
      <c r="AK41" s="519" t="s">
        <v>251</v>
      </c>
      <c r="AL41" s="519" t="s">
        <v>252</v>
      </c>
      <c r="AM41" s="519" t="s">
        <v>253</v>
      </c>
      <c r="AN41" s="519" t="s">
        <v>254</v>
      </c>
      <c r="AO41" s="519" t="s">
        <v>255</v>
      </c>
      <c r="AP41" s="519" t="s">
        <v>256</v>
      </c>
      <c r="AQ41" s="519" t="s">
        <v>257</v>
      </c>
      <c r="AR41" s="519" t="s">
        <v>258</v>
      </c>
      <c r="AS41" s="519" t="s">
        <v>259</v>
      </c>
      <c r="AT41" s="519" t="s">
        <v>260</v>
      </c>
      <c r="AU41" s="519" t="s">
        <v>261</v>
      </c>
      <c r="AV41" s="519" t="s">
        <v>262</v>
      </c>
      <c r="AW41" s="519" t="s">
        <v>263</v>
      </c>
      <c r="AX41" s="519" t="s">
        <v>264</v>
      </c>
      <c r="AY41" s="519" t="s">
        <v>265</v>
      </c>
      <c r="AZ41" s="519" t="s">
        <v>266</v>
      </c>
      <c r="BA41" s="519" t="s">
        <v>267</v>
      </c>
      <c r="BB41" s="519" t="s">
        <v>268</v>
      </c>
      <c r="BC41" s="519" t="s">
        <v>269</v>
      </c>
      <c r="BD41" s="519" t="s">
        <v>270</v>
      </c>
      <c r="BE41" s="519" t="s">
        <v>271</v>
      </c>
      <c r="BF41" s="519" t="s">
        <v>272</v>
      </c>
      <c r="BG41" s="519" t="s">
        <v>273</v>
      </c>
      <c r="BH41" s="519" t="s">
        <v>274</v>
      </c>
      <c r="BI41" s="519" t="s">
        <v>275</v>
      </c>
      <c r="BJ41" s="519" t="s">
        <v>276</v>
      </c>
      <c r="BK41" s="519" t="s">
        <v>277</v>
      </c>
      <c r="BL41" s="519" t="s">
        <v>278</v>
      </c>
      <c r="BM41" s="519" t="s">
        <v>279</v>
      </c>
      <c r="BN41" s="519" t="s">
        <v>280</v>
      </c>
      <c r="BO41" s="519" t="s">
        <v>281</v>
      </c>
      <c r="BP41" s="519" t="s">
        <v>282</v>
      </c>
      <c r="BQ41" s="519" t="s">
        <v>283</v>
      </c>
      <c r="BR41" s="519" t="s">
        <v>284</v>
      </c>
      <c r="BS41" s="519" t="s">
        <v>285</v>
      </c>
      <c r="BT41" s="519" t="s">
        <v>286</v>
      </c>
      <c r="BU41" s="519" t="s">
        <v>287</v>
      </c>
      <c r="BV41" s="519" t="s">
        <v>288</v>
      </c>
      <c r="BW41" s="519" t="s">
        <v>289</v>
      </c>
      <c r="BX41" s="519" t="s">
        <v>290</v>
      </c>
      <c r="BY41" s="519" t="s">
        <v>291</v>
      </c>
      <c r="BZ41" s="519" t="s">
        <v>292</v>
      </c>
      <c r="CA41" s="519" t="s">
        <v>293</v>
      </c>
      <c r="CB41" s="519" t="s">
        <v>294</v>
      </c>
      <c r="CC41" s="519" t="s">
        <v>295</v>
      </c>
      <c r="CD41" s="519" t="s">
        <v>296</v>
      </c>
      <c r="CE41" s="519" t="s">
        <v>297</v>
      </c>
      <c r="CF41" s="519" t="s">
        <v>298</v>
      </c>
      <c r="CG41" s="519" t="s">
        <v>299</v>
      </c>
      <c r="CH41" s="519" t="s">
        <v>300</v>
      </c>
      <c r="CI41" s="519" t="s">
        <v>301</v>
      </c>
      <c r="CJ41" s="519" t="s">
        <v>658</v>
      </c>
    </row>
    <row r="42" spans="2:88" s="1624" customFormat="1" ht="28.5" customHeight="1" x14ac:dyDescent="0.3">
      <c r="B42" s="1626" t="s">
        <v>696</v>
      </c>
      <c r="C42" s="1627" t="s">
        <v>697</v>
      </c>
      <c r="D42" s="1627" t="s">
        <v>82</v>
      </c>
      <c r="E42" s="1627" t="s">
        <v>398</v>
      </c>
      <c r="F42" s="1628">
        <v>0</v>
      </c>
      <c r="G42" s="1629">
        <v>98.72</v>
      </c>
      <c r="H42" s="1629">
        <v>101.65</v>
      </c>
      <c r="I42" s="1629">
        <v>105.78</v>
      </c>
      <c r="J42" s="1629">
        <v>109.78</v>
      </c>
      <c r="K42" s="1629">
        <v>113.29</v>
      </c>
      <c r="L42" s="1629">
        <v>116.41</v>
      </c>
      <c r="M42" s="1629">
        <v>123.13</v>
      </c>
      <c r="N42" s="1629">
        <v>129.97999999999999</v>
      </c>
      <c r="O42" s="1629">
        <v>136.65</v>
      </c>
      <c r="P42" s="1629">
        <v>143.22</v>
      </c>
      <c r="Q42" s="1629">
        <v>149.82</v>
      </c>
      <c r="R42" s="1629">
        <v>156.41</v>
      </c>
      <c r="S42" s="1629">
        <v>163.08000000000001</v>
      </c>
      <c r="T42" s="1629">
        <v>169.44</v>
      </c>
      <c r="U42" s="1629">
        <v>175.72</v>
      </c>
      <c r="V42" s="1629">
        <v>181.89</v>
      </c>
      <c r="W42" s="1629">
        <v>188.03</v>
      </c>
      <c r="X42" s="1629">
        <v>194.12</v>
      </c>
      <c r="Y42" s="1629">
        <v>200.15</v>
      </c>
      <c r="Z42" s="1629">
        <v>206.14</v>
      </c>
      <c r="AA42" s="1629">
        <v>212.09</v>
      </c>
      <c r="AB42" s="1629">
        <v>217.99</v>
      </c>
      <c r="AC42" s="1629">
        <v>223.86</v>
      </c>
      <c r="AD42" s="1629">
        <v>229.68</v>
      </c>
      <c r="AE42" s="1629">
        <v>235.47</v>
      </c>
      <c r="AF42" s="1629">
        <v>241.21</v>
      </c>
      <c r="AG42" s="1629">
        <v>246.91</v>
      </c>
      <c r="AH42" s="1629">
        <v>252.59</v>
      </c>
      <c r="AI42" s="1629">
        <v>258.22000000000003</v>
      </c>
      <c r="AJ42" s="1629">
        <v>263.82</v>
      </c>
      <c r="AK42" s="1629">
        <v>269.36</v>
      </c>
      <c r="AL42" s="1629">
        <v>274</v>
      </c>
      <c r="AM42" s="1629">
        <v>278.58</v>
      </c>
      <c r="AN42" s="1629">
        <v>283.14999999999998</v>
      </c>
      <c r="AO42" s="1629">
        <v>287.70999999999998</v>
      </c>
      <c r="AP42" s="1629">
        <v>292.24</v>
      </c>
      <c r="AQ42" s="1629">
        <v>296.77</v>
      </c>
      <c r="AR42" s="1629">
        <v>301.27</v>
      </c>
      <c r="AS42" s="1629">
        <v>305.70999999999998</v>
      </c>
      <c r="AT42" s="1629">
        <v>310.10000000000002</v>
      </c>
      <c r="AU42" s="1629">
        <v>314.47000000000003</v>
      </c>
      <c r="AV42" s="1629">
        <v>318.81</v>
      </c>
      <c r="AW42" s="1629">
        <v>323.13</v>
      </c>
      <c r="AX42" s="1629">
        <v>327.45999999999998</v>
      </c>
      <c r="AY42" s="1629">
        <v>331.82</v>
      </c>
      <c r="AZ42" s="1629">
        <v>336.18</v>
      </c>
      <c r="BA42" s="1629">
        <v>340.55</v>
      </c>
      <c r="BB42" s="1629">
        <v>344.94</v>
      </c>
      <c r="BC42" s="1629">
        <v>349.31</v>
      </c>
      <c r="BD42" s="1629">
        <v>353.69</v>
      </c>
      <c r="BE42" s="1629">
        <v>358.05</v>
      </c>
      <c r="BF42" s="1629">
        <v>362.4</v>
      </c>
      <c r="BG42" s="1629">
        <v>366.77</v>
      </c>
      <c r="BH42" s="1629">
        <v>371.11</v>
      </c>
      <c r="BI42" s="1629">
        <v>375.44</v>
      </c>
      <c r="BJ42" s="1629">
        <v>379.76</v>
      </c>
      <c r="BK42" s="1629">
        <v>384.06</v>
      </c>
      <c r="BL42" s="1629">
        <v>388.35</v>
      </c>
      <c r="BM42" s="1629">
        <v>392.62</v>
      </c>
      <c r="BN42" s="1629">
        <v>396.9</v>
      </c>
      <c r="BO42" s="1629">
        <v>401.16</v>
      </c>
      <c r="BP42" s="1629">
        <v>405.44</v>
      </c>
      <c r="BQ42" s="1629">
        <v>409.73</v>
      </c>
      <c r="BR42" s="1629">
        <v>414.03</v>
      </c>
      <c r="BS42" s="1629">
        <v>418.33</v>
      </c>
      <c r="BT42" s="1629">
        <v>422.62</v>
      </c>
      <c r="BU42" s="1629">
        <v>426.92</v>
      </c>
      <c r="BV42" s="1629">
        <v>431.24</v>
      </c>
      <c r="BW42" s="1629">
        <v>435.54</v>
      </c>
      <c r="BX42" s="1629">
        <v>439.86</v>
      </c>
      <c r="BY42" s="1629">
        <v>444.19</v>
      </c>
      <c r="BZ42" s="1629">
        <v>448.54</v>
      </c>
      <c r="CA42" s="1629">
        <v>452.91</v>
      </c>
      <c r="CB42" s="1629">
        <v>457.3</v>
      </c>
      <c r="CC42" s="1629">
        <v>461.71</v>
      </c>
      <c r="CD42" s="1629">
        <v>466.12</v>
      </c>
      <c r="CE42" s="1629">
        <v>470.53</v>
      </c>
      <c r="CF42" s="1629">
        <v>474.96</v>
      </c>
      <c r="CG42" s="1629">
        <v>479.37</v>
      </c>
      <c r="CH42" s="1629">
        <v>483.77</v>
      </c>
      <c r="CI42" s="1629">
        <v>488.15</v>
      </c>
      <c r="CJ42" s="1630">
        <v>266.02</v>
      </c>
    </row>
    <row r="43" spans="2:88" s="1624" customFormat="1" ht="13.5" customHeight="1" x14ac:dyDescent="0.35">
      <c r="B43" s="1631" t="s">
        <v>698</v>
      </c>
      <c r="C43" s="1632" t="s">
        <v>699</v>
      </c>
      <c r="D43" s="1632" t="s">
        <v>700</v>
      </c>
      <c r="E43" s="1632" t="s">
        <v>398</v>
      </c>
      <c r="F43" s="1633">
        <v>0</v>
      </c>
      <c r="G43" s="1634">
        <f>SUM(G44:G48)</f>
        <v>0</v>
      </c>
      <c r="H43" s="1634">
        <f t="shared" ref="H43:BS43" si="4">SUM(H44:H48)</f>
        <v>0</v>
      </c>
      <c r="I43" s="1634">
        <f t="shared" si="4"/>
        <v>0</v>
      </c>
      <c r="J43" s="1634">
        <f t="shared" si="4"/>
        <v>0</v>
      </c>
      <c r="K43" s="1634">
        <f t="shared" si="4"/>
        <v>0</v>
      </c>
      <c r="L43" s="1634">
        <f t="shared" si="4"/>
        <v>0</v>
      </c>
      <c r="M43" s="1634">
        <f t="shared" si="4"/>
        <v>3.1040000000000001</v>
      </c>
      <c r="N43" s="1634">
        <f t="shared" si="4"/>
        <v>3.1040000000000001</v>
      </c>
      <c r="O43" s="1634">
        <f t="shared" si="4"/>
        <v>3.1040000000000001</v>
      </c>
      <c r="P43" s="1634">
        <f t="shared" si="4"/>
        <v>3.1040000000000001</v>
      </c>
      <c r="Q43" s="1634">
        <f t="shared" si="4"/>
        <v>3.1040000000000001</v>
      </c>
      <c r="R43" s="1634">
        <f t="shared" si="4"/>
        <v>3.1040000000000001</v>
      </c>
      <c r="S43" s="1634">
        <f t="shared" si="4"/>
        <v>0</v>
      </c>
      <c r="T43" s="1634">
        <f t="shared" si="4"/>
        <v>0</v>
      </c>
      <c r="U43" s="1634">
        <f t="shared" si="4"/>
        <v>0</v>
      </c>
      <c r="V43" s="1634">
        <f t="shared" si="4"/>
        <v>0</v>
      </c>
      <c r="W43" s="1634">
        <f t="shared" si="4"/>
        <v>0</v>
      </c>
      <c r="X43" s="1634">
        <f t="shared" si="4"/>
        <v>0</v>
      </c>
      <c r="Y43" s="1634">
        <f t="shared" si="4"/>
        <v>0</v>
      </c>
      <c r="Z43" s="1634">
        <f t="shared" si="4"/>
        <v>0</v>
      </c>
      <c r="AA43" s="1634">
        <f t="shared" si="4"/>
        <v>0</v>
      </c>
      <c r="AB43" s="1634">
        <f t="shared" si="4"/>
        <v>0</v>
      </c>
      <c r="AC43" s="1634">
        <f t="shared" si="4"/>
        <v>0</v>
      </c>
      <c r="AD43" s="1634">
        <f t="shared" si="4"/>
        <v>0</v>
      </c>
      <c r="AE43" s="1634">
        <f t="shared" si="4"/>
        <v>0</v>
      </c>
      <c r="AF43" s="1634">
        <f t="shared" si="4"/>
        <v>0</v>
      </c>
      <c r="AG43" s="1634">
        <f t="shared" si="4"/>
        <v>0</v>
      </c>
      <c r="AH43" s="1634">
        <f t="shared" si="4"/>
        <v>0</v>
      </c>
      <c r="AI43" s="1634">
        <f t="shared" si="4"/>
        <v>0</v>
      </c>
      <c r="AJ43" s="1634">
        <f t="shared" si="4"/>
        <v>0</v>
      </c>
      <c r="AK43" s="1634">
        <f t="shared" si="4"/>
        <v>0</v>
      </c>
      <c r="AL43" s="1634">
        <f t="shared" si="4"/>
        <v>0</v>
      </c>
      <c r="AM43" s="1634">
        <f t="shared" si="4"/>
        <v>0</v>
      </c>
      <c r="AN43" s="1634">
        <f t="shared" si="4"/>
        <v>0</v>
      </c>
      <c r="AO43" s="1634">
        <f t="shared" si="4"/>
        <v>0</v>
      </c>
      <c r="AP43" s="1634">
        <f t="shared" si="4"/>
        <v>0</v>
      </c>
      <c r="AQ43" s="1634">
        <f t="shared" si="4"/>
        <v>0</v>
      </c>
      <c r="AR43" s="1634">
        <f t="shared" si="4"/>
        <v>0</v>
      </c>
      <c r="AS43" s="1634">
        <f t="shared" si="4"/>
        <v>0</v>
      </c>
      <c r="AT43" s="1634">
        <f t="shared" si="4"/>
        <v>0</v>
      </c>
      <c r="AU43" s="1634">
        <f t="shared" si="4"/>
        <v>0</v>
      </c>
      <c r="AV43" s="1634">
        <f t="shared" si="4"/>
        <v>0</v>
      </c>
      <c r="AW43" s="1634">
        <f t="shared" si="4"/>
        <v>0</v>
      </c>
      <c r="AX43" s="1634">
        <f t="shared" si="4"/>
        <v>0</v>
      </c>
      <c r="AY43" s="1634">
        <f t="shared" si="4"/>
        <v>0</v>
      </c>
      <c r="AZ43" s="1634">
        <f t="shared" si="4"/>
        <v>0</v>
      </c>
      <c r="BA43" s="1634">
        <f t="shared" si="4"/>
        <v>0</v>
      </c>
      <c r="BB43" s="1634">
        <f t="shared" si="4"/>
        <v>0</v>
      </c>
      <c r="BC43" s="1634">
        <f t="shared" si="4"/>
        <v>0</v>
      </c>
      <c r="BD43" s="1634">
        <f t="shared" si="4"/>
        <v>0</v>
      </c>
      <c r="BE43" s="1634">
        <f t="shared" si="4"/>
        <v>0</v>
      </c>
      <c r="BF43" s="1634">
        <f t="shared" si="4"/>
        <v>0</v>
      </c>
      <c r="BG43" s="1634">
        <f t="shared" si="4"/>
        <v>0</v>
      </c>
      <c r="BH43" s="1634">
        <f t="shared" si="4"/>
        <v>0</v>
      </c>
      <c r="BI43" s="1634">
        <f t="shared" si="4"/>
        <v>0</v>
      </c>
      <c r="BJ43" s="1634">
        <f t="shared" si="4"/>
        <v>0</v>
      </c>
      <c r="BK43" s="1634">
        <f t="shared" si="4"/>
        <v>0</v>
      </c>
      <c r="BL43" s="1634">
        <f t="shared" si="4"/>
        <v>0</v>
      </c>
      <c r="BM43" s="1634">
        <f t="shared" si="4"/>
        <v>0</v>
      </c>
      <c r="BN43" s="1634">
        <f t="shared" si="4"/>
        <v>0</v>
      </c>
      <c r="BO43" s="1634">
        <f t="shared" si="4"/>
        <v>0</v>
      </c>
      <c r="BP43" s="1634">
        <f t="shared" si="4"/>
        <v>0</v>
      </c>
      <c r="BQ43" s="1634">
        <f t="shared" si="4"/>
        <v>0</v>
      </c>
      <c r="BR43" s="1634">
        <f t="shared" si="4"/>
        <v>0</v>
      </c>
      <c r="BS43" s="1634">
        <f t="shared" si="4"/>
        <v>0</v>
      </c>
      <c r="BT43" s="1634">
        <f t="shared" ref="BT43:CJ43" si="5">SUM(BT44:BT48)</f>
        <v>0</v>
      </c>
      <c r="BU43" s="1634">
        <f t="shared" si="5"/>
        <v>0</v>
      </c>
      <c r="BV43" s="1634">
        <f t="shared" si="5"/>
        <v>0</v>
      </c>
      <c r="BW43" s="1634">
        <f t="shared" si="5"/>
        <v>0</v>
      </c>
      <c r="BX43" s="1634">
        <f t="shared" si="5"/>
        <v>0</v>
      </c>
      <c r="BY43" s="1634">
        <f t="shared" si="5"/>
        <v>0</v>
      </c>
      <c r="BZ43" s="1634">
        <f t="shared" si="5"/>
        <v>0</v>
      </c>
      <c r="CA43" s="1634">
        <f t="shared" si="5"/>
        <v>0</v>
      </c>
      <c r="CB43" s="1634">
        <f t="shared" si="5"/>
        <v>0</v>
      </c>
      <c r="CC43" s="1634">
        <f t="shared" si="5"/>
        <v>0</v>
      </c>
      <c r="CD43" s="1634">
        <f t="shared" si="5"/>
        <v>0</v>
      </c>
      <c r="CE43" s="1634">
        <f t="shared" si="5"/>
        <v>0</v>
      </c>
      <c r="CF43" s="1634">
        <f t="shared" si="5"/>
        <v>0</v>
      </c>
      <c r="CG43" s="1634">
        <f t="shared" si="5"/>
        <v>0</v>
      </c>
      <c r="CH43" s="1634">
        <f t="shared" si="5"/>
        <v>0</v>
      </c>
      <c r="CI43" s="1634">
        <f t="shared" si="5"/>
        <v>0</v>
      </c>
      <c r="CJ43" s="1634">
        <f t="shared" si="5"/>
        <v>2.552</v>
      </c>
    </row>
    <row r="44" spans="2:88" s="76" customFormat="1" ht="32.25" customHeight="1" x14ac:dyDescent="0.3">
      <c r="B44" s="1642" t="s">
        <v>701</v>
      </c>
      <c r="C44" s="1643" t="s">
        <v>702</v>
      </c>
      <c r="D44" s="1643" t="s">
        <v>82</v>
      </c>
      <c r="E44" s="1643" t="s">
        <v>398</v>
      </c>
      <c r="F44" s="1644">
        <v>0</v>
      </c>
      <c r="G44" s="1645">
        <v>0</v>
      </c>
      <c r="H44" s="1645">
        <v>0</v>
      </c>
      <c r="I44" s="1645">
        <v>0</v>
      </c>
      <c r="J44" s="1645">
        <v>0</v>
      </c>
      <c r="K44" s="1645">
        <v>0</v>
      </c>
      <c r="L44" s="1645">
        <v>0</v>
      </c>
      <c r="M44" s="1645">
        <v>0</v>
      </c>
      <c r="N44" s="1645">
        <v>0</v>
      </c>
      <c r="O44" s="1645">
        <v>0</v>
      </c>
      <c r="P44" s="1645">
        <v>0</v>
      </c>
      <c r="Q44" s="1645">
        <v>0</v>
      </c>
      <c r="R44" s="1645">
        <v>0</v>
      </c>
      <c r="S44" s="1645">
        <v>0</v>
      </c>
      <c r="T44" s="1645">
        <v>0</v>
      </c>
      <c r="U44" s="1645">
        <v>0</v>
      </c>
      <c r="V44" s="1645">
        <v>0</v>
      </c>
      <c r="W44" s="1645">
        <v>0</v>
      </c>
      <c r="X44" s="1645">
        <v>0</v>
      </c>
      <c r="Y44" s="1645">
        <v>0</v>
      </c>
      <c r="Z44" s="1645">
        <v>0</v>
      </c>
      <c r="AA44" s="1645">
        <v>0</v>
      </c>
      <c r="AB44" s="1645">
        <v>0</v>
      </c>
      <c r="AC44" s="1645">
        <v>0</v>
      </c>
      <c r="AD44" s="1645">
        <v>0</v>
      </c>
      <c r="AE44" s="1645">
        <v>0</v>
      </c>
      <c r="AF44" s="1645">
        <v>0</v>
      </c>
      <c r="AG44" s="1645">
        <v>0</v>
      </c>
      <c r="AH44" s="1645">
        <v>0</v>
      </c>
      <c r="AI44" s="1645">
        <v>0</v>
      </c>
      <c r="AJ44" s="1645">
        <v>0</v>
      </c>
      <c r="AK44" s="1645">
        <v>0</v>
      </c>
      <c r="AL44" s="1645">
        <v>0</v>
      </c>
      <c r="AM44" s="1645">
        <v>0</v>
      </c>
      <c r="AN44" s="1645">
        <v>0</v>
      </c>
      <c r="AO44" s="1645">
        <v>0</v>
      </c>
      <c r="AP44" s="1645">
        <v>0</v>
      </c>
      <c r="AQ44" s="1645">
        <v>0</v>
      </c>
      <c r="AR44" s="1645">
        <v>0</v>
      </c>
      <c r="AS44" s="1645">
        <v>0</v>
      </c>
      <c r="AT44" s="1645">
        <v>0</v>
      </c>
      <c r="AU44" s="1645">
        <v>0</v>
      </c>
      <c r="AV44" s="1645">
        <v>0</v>
      </c>
      <c r="AW44" s="1645">
        <v>0</v>
      </c>
      <c r="AX44" s="1645">
        <v>0</v>
      </c>
      <c r="AY44" s="1645">
        <v>0</v>
      </c>
      <c r="AZ44" s="1645">
        <v>0</v>
      </c>
      <c r="BA44" s="1645">
        <v>0</v>
      </c>
      <c r="BB44" s="1645">
        <v>0</v>
      </c>
      <c r="BC44" s="1645">
        <v>0</v>
      </c>
      <c r="BD44" s="1645">
        <v>0</v>
      </c>
      <c r="BE44" s="1645">
        <v>0</v>
      </c>
      <c r="BF44" s="1645">
        <v>0</v>
      </c>
      <c r="BG44" s="1645">
        <v>0</v>
      </c>
      <c r="BH44" s="1645">
        <v>0</v>
      </c>
      <c r="BI44" s="1645">
        <v>0</v>
      </c>
      <c r="BJ44" s="1645">
        <v>0</v>
      </c>
      <c r="BK44" s="1645">
        <v>0</v>
      </c>
      <c r="BL44" s="1645">
        <v>0</v>
      </c>
      <c r="BM44" s="1645">
        <v>0</v>
      </c>
      <c r="BN44" s="1645">
        <v>0</v>
      </c>
      <c r="BO44" s="1645">
        <v>0</v>
      </c>
      <c r="BP44" s="1645">
        <v>0</v>
      </c>
      <c r="BQ44" s="1645">
        <v>0</v>
      </c>
      <c r="BR44" s="1645">
        <v>0</v>
      </c>
      <c r="BS44" s="1645">
        <v>0</v>
      </c>
      <c r="BT44" s="1645">
        <v>0</v>
      </c>
      <c r="BU44" s="1645">
        <v>0</v>
      </c>
      <c r="BV44" s="1645">
        <v>0</v>
      </c>
      <c r="BW44" s="1645">
        <v>0</v>
      </c>
      <c r="BX44" s="1645">
        <v>0</v>
      </c>
      <c r="BY44" s="1645">
        <v>0</v>
      </c>
      <c r="BZ44" s="1645">
        <v>0</v>
      </c>
      <c r="CA44" s="1645">
        <v>0</v>
      </c>
      <c r="CB44" s="1645">
        <v>0</v>
      </c>
      <c r="CC44" s="1645">
        <v>0</v>
      </c>
      <c r="CD44" s="1645">
        <v>0</v>
      </c>
      <c r="CE44" s="1645">
        <v>0</v>
      </c>
      <c r="CF44" s="1645">
        <v>0</v>
      </c>
      <c r="CG44" s="1645">
        <v>0</v>
      </c>
      <c r="CH44" s="1645">
        <v>0</v>
      </c>
      <c r="CI44" s="1645">
        <v>0</v>
      </c>
      <c r="CJ44" s="1646">
        <f>TBL2c_WCDYAA_Metering[[#This Row],[2099-100]]-CJ46</f>
        <v>0</v>
      </c>
    </row>
    <row r="45" spans="2:88" s="76" customFormat="1" ht="27" customHeight="1" x14ac:dyDescent="0.3">
      <c r="B45" s="1642" t="s">
        <v>703</v>
      </c>
      <c r="C45" s="1643" t="s">
        <v>704</v>
      </c>
      <c r="D45" s="1643" t="s">
        <v>82</v>
      </c>
      <c r="E45" s="1643" t="s">
        <v>398</v>
      </c>
      <c r="F45" s="1644">
        <v>0</v>
      </c>
      <c r="G45" s="1647">
        <v>0</v>
      </c>
      <c r="H45" s="1647">
        <v>0</v>
      </c>
      <c r="I45" s="1647">
        <v>0</v>
      </c>
      <c r="J45" s="1647">
        <v>0</v>
      </c>
      <c r="K45" s="1647">
        <v>0</v>
      </c>
      <c r="L45" s="1647">
        <v>0</v>
      </c>
      <c r="M45" s="1647">
        <v>0</v>
      </c>
      <c r="N45" s="1647">
        <v>0</v>
      </c>
      <c r="O45" s="1647">
        <v>0</v>
      </c>
      <c r="P45" s="1647">
        <v>0</v>
      </c>
      <c r="Q45" s="1647">
        <v>0</v>
      </c>
      <c r="R45" s="1647">
        <v>0</v>
      </c>
      <c r="S45" s="1647">
        <v>0</v>
      </c>
      <c r="T45" s="1647">
        <v>0</v>
      </c>
      <c r="U45" s="1647">
        <v>0</v>
      </c>
      <c r="V45" s="1647">
        <v>0</v>
      </c>
      <c r="W45" s="1647">
        <v>0</v>
      </c>
      <c r="X45" s="1647">
        <v>0</v>
      </c>
      <c r="Y45" s="1647">
        <v>0</v>
      </c>
      <c r="Z45" s="1647">
        <v>0</v>
      </c>
      <c r="AA45" s="1647">
        <v>0</v>
      </c>
      <c r="AB45" s="1647">
        <v>0</v>
      </c>
      <c r="AC45" s="1647">
        <v>0</v>
      </c>
      <c r="AD45" s="1647">
        <v>0</v>
      </c>
      <c r="AE45" s="1647">
        <v>0</v>
      </c>
      <c r="AF45" s="1647">
        <v>0</v>
      </c>
      <c r="AG45" s="1647">
        <v>0</v>
      </c>
      <c r="AH45" s="1647">
        <v>0</v>
      </c>
      <c r="AI45" s="1647">
        <v>0</v>
      </c>
      <c r="AJ45" s="1647">
        <v>0</v>
      </c>
      <c r="AK45" s="1647">
        <v>0</v>
      </c>
      <c r="AL45" s="1647">
        <v>0</v>
      </c>
      <c r="AM45" s="1647">
        <v>0</v>
      </c>
      <c r="AN45" s="1647">
        <v>0</v>
      </c>
      <c r="AO45" s="1647">
        <v>0</v>
      </c>
      <c r="AP45" s="1647">
        <v>0</v>
      </c>
      <c r="AQ45" s="1647">
        <v>0</v>
      </c>
      <c r="AR45" s="1647">
        <v>0</v>
      </c>
      <c r="AS45" s="1647">
        <v>0</v>
      </c>
      <c r="AT45" s="1647">
        <v>0</v>
      </c>
      <c r="AU45" s="1647">
        <v>0</v>
      </c>
      <c r="AV45" s="1647">
        <v>0</v>
      </c>
      <c r="AW45" s="1647">
        <v>0</v>
      </c>
      <c r="AX45" s="1647">
        <v>0</v>
      </c>
      <c r="AY45" s="1647">
        <v>0</v>
      </c>
      <c r="AZ45" s="1647">
        <v>0</v>
      </c>
      <c r="BA45" s="1647">
        <v>0</v>
      </c>
      <c r="BB45" s="1647">
        <v>0</v>
      </c>
      <c r="BC45" s="1647">
        <v>0</v>
      </c>
      <c r="BD45" s="1647">
        <v>0</v>
      </c>
      <c r="BE45" s="1647">
        <v>0</v>
      </c>
      <c r="BF45" s="1647">
        <v>0</v>
      </c>
      <c r="BG45" s="1647">
        <v>0</v>
      </c>
      <c r="BH45" s="1647">
        <v>0</v>
      </c>
      <c r="BI45" s="1647">
        <v>0</v>
      </c>
      <c r="BJ45" s="1647">
        <v>0</v>
      </c>
      <c r="BK45" s="1647">
        <v>0</v>
      </c>
      <c r="BL45" s="1647">
        <v>0</v>
      </c>
      <c r="BM45" s="1647">
        <v>0</v>
      </c>
      <c r="BN45" s="1647">
        <v>0</v>
      </c>
      <c r="BO45" s="1647">
        <v>0</v>
      </c>
      <c r="BP45" s="1647">
        <v>0</v>
      </c>
      <c r="BQ45" s="1647">
        <v>0</v>
      </c>
      <c r="BR45" s="1647">
        <v>0</v>
      </c>
      <c r="BS45" s="1647">
        <v>0</v>
      </c>
      <c r="BT45" s="1647">
        <v>0</v>
      </c>
      <c r="BU45" s="1647">
        <v>0</v>
      </c>
      <c r="BV45" s="1647">
        <v>0</v>
      </c>
      <c r="BW45" s="1647">
        <v>0</v>
      </c>
      <c r="BX45" s="1647">
        <v>0</v>
      </c>
      <c r="BY45" s="1647">
        <v>0</v>
      </c>
      <c r="BZ45" s="1647">
        <v>0</v>
      </c>
      <c r="CA45" s="1647">
        <v>0</v>
      </c>
      <c r="CB45" s="1647">
        <v>0</v>
      </c>
      <c r="CC45" s="1647">
        <v>0</v>
      </c>
      <c r="CD45" s="1647">
        <v>0</v>
      </c>
      <c r="CE45" s="1647">
        <v>0</v>
      </c>
      <c r="CF45" s="1647">
        <v>0</v>
      </c>
      <c r="CG45" s="1647">
        <v>0</v>
      </c>
      <c r="CH45" s="1647">
        <v>0</v>
      </c>
      <c r="CI45" s="1647">
        <v>0</v>
      </c>
      <c r="CJ45" s="1646">
        <v>2.552</v>
      </c>
    </row>
    <row r="46" spans="2:88" s="76" customFormat="1" ht="38.4" customHeight="1" x14ac:dyDescent="0.3">
      <c r="B46" s="1642" t="s">
        <v>705</v>
      </c>
      <c r="C46" s="1643" t="s">
        <v>706</v>
      </c>
      <c r="D46" s="1643" t="s">
        <v>82</v>
      </c>
      <c r="E46" s="1648" t="s">
        <v>398</v>
      </c>
      <c r="F46" s="1649">
        <v>0</v>
      </c>
      <c r="G46" s="1647">
        <v>0</v>
      </c>
      <c r="H46" s="1647">
        <v>0</v>
      </c>
      <c r="I46" s="1647">
        <v>0</v>
      </c>
      <c r="J46" s="1647">
        <v>0</v>
      </c>
      <c r="K46" s="1647">
        <v>0</v>
      </c>
      <c r="L46" s="1647">
        <v>0</v>
      </c>
      <c r="M46" s="1647">
        <v>0</v>
      </c>
      <c r="N46" s="1647">
        <v>0</v>
      </c>
      <c r="O46" s="1647">
        <v>0</v>
      </c>
      <c r="P46" s="1647">
        <v>0</v>
      </c>
      <c r="Q46" s="1647">
        <v>0</v>
      </c>
      <c r="R46" s="1647">
        <v>0</v>
      </c>
      <c r="S46" s="1647">
        <v>0</v>
      </c>
      <c r="T46" s="1647">
        <v>0</v>
      </c>
      <c r="U46" s="1647">
        <v>0</v>
      </c>
      <c r="V46" s="1647">
        <v>0</v>
      </c>
      <c r="W46" s="1647">
        <v>0</v>
      </c>
      <c r="X46" s="1647">
        <v>0</v>
      </c>
      <c r="Y46" s="1647">
        <v>0</v>
      </c>
      <c r="Z46" s="1647">
        <v>0</v>
      </c>
      <c r="AA46" s="1647">
        <v>0</v>
      </c>
      <c r="AB46" s="1647">
        <v>0</v>
      </c>
      <c r="AC46" s="1647">
        <v>0</v>
      </c>
      <c r="AD46" s="1647">
        <v>0</v>
      </c>
      <c r="AE46" s="1647">
        <v>0</v>
      </c>
      <c r="AF46" s="1647">
        <v>0</v>
      </c>
      <c r="AG46" s="1647">
        <v>0</v>
      </c>
      <c r="AH46" s="1647">
        <v>0</v>
      </c>
      <c r="AI46" s="1647">
        <v>0</v>
      </c>
      <c r="AJ46" s="1647">
        <v>0</v>
      </c>
      <c r="AK46" s="1647">
        <v>0</v>
      </c>
      <c r="AL46" s="1647">
        <v>0</v>
      </c>
      <c r="AM46" s="1647">
        <v>0</v>
      </c>
      <c r="AN46" s="1647">
        <v>0</v>
      </c>
      <c r="AO46" s="1647">
        <v>0</v>
      </c>
      <c r="AP46" s="1647">
        <v>0</v>
      </c>
      <c r="AQ46" s="1647">
        <v>0</v>
      </c>
      <c r="AR46" s="1647">
        <v>0</v>
      </c>
      <c r="AS46" s="1647">
        <v>0</v>
      </c>
      <c r="AT46" s="1647">
        <v>0</v>
      </c>
      <c r="AU46" s="1647">
        <v>0</v>
      </c>
      <c r="AV46" s="1647">
        <v>0</v>
      </c>
      <c r="AW46" s="1647">
        <v>0</v>
      </c>
      <c r="AX46" s="1647">
        <v>0</v>
      </c>
      <c r="AY46" s="1647">
        <v>0</v>
      </c>
      <c r="AZ46" s="1647">
        <v>0</v>
      </c>
      <c r="BA46" s="1647">
        <v>0</v>
      </c>
      <c r="BB46" s="1647">
        <v>0</v>
      </c>
      <c r="BC46" s="1647">
        <v>0</v>
      </c>
      <c r="BD46" s="1647">
        <v>0</v>
      </c>
      <c r="BE46" s="1647">
        <v>0</v>
      </c>
      <c r="BF46" s="1647">
        <v>0</v>
      </c>
      <c r="BG46" s="1647">
        <v>0</v>
      </c>
      <c r="BH46" s="1647">
        <v>0</v>
      </c>
      <c r="BI46" s="1647">
        <v>0</v>
      </c>
      <c r="BJ46" s="1647">
        <v>0</v>
      </c>
      <c r="BK46" s="1647">
        <v>0</v>
      </c>
      <c r="BL46" s="1647">
        <v>0</v>
      </c>
      <c r="BM46" s="1647">
        <v>0</v>
      </c>
      <c r="BN46" s="1647">
        <v>0</v>
      </c>
      <c r="BO46" s="1647">
        <v>0</v>
      </c>
      <c r="BP46" s="1647">
        <v>0</v>
      </c>
      <c r="BQ46" s="1647">
        <v>0</v>
      </c>
      <c r="BR46" s="1647">
        <v>0</v>
      </c>
      <c r="BS46" s="1647">
        <v>0</v>
      </c>
      <c r="BT46" s="1647">
        <v>0</v>
      </c>
      <c r="BU46" s="1647">
        <v>0</v>
      </c>
      <c r="BV46" s="1647">
        <v>0</v>
      </c>
      <c r="BW46" s="1647">
        <v>0</v>
      </c>
      <c r="BX46" s="1647">
        <v>0</v>
      </c>
      <c r="BY46" s="1647">
        <v>0</v>
      </c>
      <c r="BZ46" s="1647">
        <v>0</v>
      </c>
      <c r="CA46" s="1647">
        <v>0</v>
      </c>
      <c r="CB46" s="1647">
        <v>0</v>
      </c>
      <c r="CC46" s="1647">
        <v>0</v>
      </c>
      <c r="CD46" s="1647">
        <v>0</v>
      </c>
      <c r="CE46" s="1647">
        <v>0</v>
      </c>
      <c r="CF46" s="1647">
        <v>0</v>
      </c>
      <c r="CG46" s="1647">
        <v>0</v>
      </c>
      <c r="CH46" s="1647">
        <v>0</v>
      </c>
      <c r="CI46" s="1647">
        <v>0</v>
      </c>
      <c r="CJ46" s="1646">
        <v>0</v>
      </c>
    </row>
    <row r="47" spans="2:88" s="1624" customFormat="1" ht="28" x14ac:dyDescent="0.3">
      <c r="B47" s="1638" t="s">
        <v>707</v>
      </c>
      <c r="C47" s="1636" t="s">
        <v>708</v>
      </c>
      <c r="D47" s="1636" t="s">
        <v>82</v>
      </c>
      <c r="E47" s="1636" t="s">
        <v>398</v>
      </c>
      <c r="F47" s="1637">
        <v>0</v>
      </c>
      <c r="G47" s="1639">
        <v>0</v>
      </c>
      <c r="H47" s="1640">
        <v>0</v>
      </c>
      <c r="I47" s="1640">
        <v>0</v>
      </c>
      <c r="J47" s="1640">
        <v>0</v>
      </c>
      <c r="K47" s="1640">
        <v>0</v>
      </c>
      <c r="L47" s="1640">
        <v>0</v>
      </c>
      <c r="M47" s="1635">
        <v>3.1040000000000001</v>
      </c>
      <c r="N47" s="1635">
        <v>3.1040000000000001</v>
      </c>
      <c r="O47" s="1635">
        <v>3.1040000000000001</v>
      </c>
      <c r="P47" s="1635">
        <v>3.1040000000000001</v>
      </c>
      <c r="Q47" s="1635">
        <v>3.1040000000000001</v>
      </c>
      <c r="R47" s="1635">
        <v>3.1040000000000001</v>
      </c>
      <c r="S47" s="1647">
        <v>0</v>
      </c>
      <c r="T47" s="1647">
        <v>0</v>
      </c>
      <c r="U47" s="1647">
        <v>0</v>
      </c>
      <c r="V47" s="1647">
        <v>0</v>
      </c>
      <c r="W47" s="1647">
        <v>0</v>
      </c>
      <c r="X47" s="1647">
        <v>0</v>
      </c>
      <c r="Y47" s="1647">
        <v>0</v>
      </c>
      <c r="Z47" s="1647">
        <v>0</v>
      </c>
      <c r="AA47" s="1647">
        <v>0</v>
      </c>
      <c r="AB47" s="1647">
        <v>0</v>
      </c>
      <c r="AC47" s="1647">
        <v>0</v>
      </c>
      <c r="AD47" s="1647">
        <v>0</v>
      </c>
      <c r="AE47" s="1647">
        <v>0</v>
      </c>
      <c r="AF47" s="1647">
        <v>0</v>
      </c>
      <c r="AG47" s="1647">
        <v>0</v>
      </c>
      <c r="AH47" s="1647">
        <v>0</v>
      </c>
      <c r="AI47" s="1647">
        <v>0</v>
      </c>
      <c r="AJ47" s="1647">
        <v>0</v>
      </c>
      <c r="AK47" s="1647">
        <v>0</v>
      </c>
      <c r="AL47" s="1647">
        <v>0</v>
      </c>
      <c r="AM47" s="1647">
        <v>0</v>
      </c>
      <c r="AN47" s="1647">
        <v>0</v>
      </c>
      <c r="AO47" s="1647">
        <v>0</v>
      </c>
      <c r="AP47" s="1647">
        <v>0</v>
      </c>
      <c r="AQ47" s="1647">
        <v>0</v>
      </c>
      <c r="AR47" s="1647">
        <v>0</v>
      </c>
      <c r="AS47" s="1647">
        <v>0</v>
      </c>
      <c r="AT47" s="1647">
        <v>0</v>
      </c>
      <c r="AU47" s="1647">
        <v>0</v>
      </c>
      <c r="AV47" s="1647">
        <v>0</v>
      </c>
      <c r="AW47" s="1647">
        <v>0</v>
      </c>
      <c r="AX47" s="1647">
        <v>0</v>
      </c>
      <c r="AY47" s="1647">
        <v>0</v>
      </c>
      <c r="AZ47" s="1647">
        <v>0</v>
      </c>
      <c r="BA47" s="1647">
        <v>0</v>
      </c>
      <c r="BB47" s="1647">
        <v>0</v>
      </c>
      <c r="BC47" s="1647">
        <v>0</v>
      </c>
      <c r="BD47" s="1647">
        <v>0</v>
      </c>
      <c r="BE47" s="1647">
        <v>0</v>
      </c>
      <c r="BF47" s="1647">
        <v>0</v>
      </c>
      <c r="BG47" s="1647">
        <v>0</v>
      </c>
      <c r="BH47" s="1647">
        <v>0</v>
      </c>
      <c r="BI47" s="1647">
        <v>0</v>
      </c>
      <c r="BJ47" s="1647">
        <v>0</v>
      </c>
      <c r="BK47" s="1647">
        <v>0</v>
      </c>
      <c r="BL47" s="1647">
        <v>0</v>
      </c>
      <c r="BM47" s="1647">
        <v>0</v>
      </c>
      <c r="BN47" s="1647">
        <v>0</v>
      </c>
      <c r="BO47" s="1647">
        <v>0</v>
      </c>
      <c r="BP47" s="1647">
        <v>0</v>
      </c>
      <c r="BQ47" s="1647">
        <v>0</v>
      </c>
      <c r="BR47" s="1647">
        <v>0</v>
      </c>
      <c r="BS47" s="1647">
        <v>0</v>
      </c>
      <c r="BT47" s="1647">
        <v>0</v>
      </c>
      <c r="BU47" s="1647">
        <v>0</v>
      </c>
      <c r="BV47" s="1647">
        <v>0</v>
      </c>
      <c r="BW47" s="1647">
        <v>0</v>
      </c>
      <c r="BX47" s="1647">
        <v>0</v>
      </c>
      <c r="BY47" s="1647">
        <v>0</v>
      </c>
      <c r="BZ47" s="1647">
        <v>0</v>
      </c>
      <c r="CA47" s="1647">
        <v>0</v>
      </c>
      <c r="CB47" s="1647">
        <v>0</v>
      </c>
      <c r="CC47" s="1647">
        <v>0</v>
      </c>
      <c r="CD47" s="1647">
        <v>0</v>
      </c>
      <c r="CE47" s="1647">
        <v>0</v>
      </c>
      <c r="CF47" s="1647">
        <v>0</v>
      </c>
      <c r="CG47" s="1647">
        <v>0</v>
      </c>
      <c r="CH47" s="1647">
        <v>0</v>
      </c>
      <c r="CI47" s="1647">
        <v>0</v>
      </c>
      <c r="CJ47" s="1647">
        <v>0</v>
      </c>
    </row>
    <row r="48" spans="2:88" s="76" customFormat="1" ht="42" x14ac:dyDescent="0.3">
      <c r="B48" s="1642" t="s">
        <v>709</v>
      </c>
      <c r="C48" s="1643" t="s">
        <v>710</v>
      </c>
      <c r="D48" s="1643" t="s">
        <v>82</v>
      </c>
      <c r="E48" s="1648" t="s">
        <v>398</v>
      </c>
      <c r="F48" s="1649">
        <v>0</v>
      </c>
      <c r="G48" s="1655">
        <v>0</v>
      </c>
      <c r="H48" s="1655">
        <v>0</v>
      </c>
      <c r="I48" s="1655">
        <v>0</v>
      </c>
      <c r="J48" s="1655">
        <v>0</v>
      </c>
      <c r="K48" s="1655">
        <v>0</v>
      </c>
      <c r="L48" s="1655">
        <v>0</v>
      </c>
      <c r="M48" s="1655">
        <v>0</v>
      </c>
      <c r="N48" s="1655">
        <v>0</v>
      </c>
      <c r="O48" s="1655">
        <v>0</v>
      </c>
      <c r="P48" s="1655">
        <v>0</v>
      </c>
      <c r="Q48" s="1655">
        <v>0</v>
      </c>
      <c r="R48" s="1655">
        <v>0</v>
      </c>
      <c r="S48" s="1655">
        <v>0</v>
      </c>
      <c r="T48" s="1655">
        <v>0</v>
      </c>
      <c r="U48" s="1655">
        <v>0</v>
      </c>
      <c r="V48" s="1655">
        <v>0</v>
      </c>
      <c r="W48" s="1655">
        <v>0</v>
      </c>
      <c r="X48" s="1655">
        <v>0</v>
      </c>
      <c r="Y48" s="1655">
        <v>0</v>
      </c>
      <c r="Z48" s="1655">
        <v>0</v>
      </c>
      <c r="AA48" s="1655">
        <v>0</v>
      </c>
      <c r="AB48" s="1655">
        <v>0</v>
      </c>
      <c r="AC48" s="1655">
        <v>0</v>
      </c>
      <c r="AD48" s="1655">
        <v>0</v>
      </c>
      <c r="AE48" s="1655">
        <v>0</v>
      </c>
      <c r="AF48" s="1655">
        <v>0</v>
      </c>
      <c r="AG48" s="1655">
        <v>0</v>
      </c>
      <c r="AH48" s="1655">
        <v>0</v>
      </c>
      <c r="AI48" s="1655">
        <v>0</v>
      </c>
      <c r="AJ48" s="1655">
        <v>0</v>
      </c>
      <c r="AK48" s="1655">
        <v>0</v>
      </c>
      <c r="AL48" s="1655">
        <v>0</v>
      </c>
      <c r="AM48" s="1655">
        <v>0</v>
      </c>
      <c r="AN48" s="1655">
        <v>0</v>
      </c>
      <c r="AO48" s="1655">
        <v>0</v>
      </c>
      <c r="AP48" s="1655">
        <v>0</v>
      </c>
      <c r="AQ48" s="1655">
        <v>0</v>
      </c>
      <c r="AR48" s="1655">
        <v>0</v>
      </c>
      <c r="AS48" s="1655">
        <v>0</v>
      </c>
      <c r="AT48" s="1655">
        <v>0</v>
      </c>
      <c r="AU48" s="1655">
        <v>0</v>
      </c>
      <c r="AV48" s="1655">
        <v>0</v>
      </c>
      <c r="AW48" s="1655">
        <v>0</v>
      </c>
      <c r="AX48" s="1655">
        <v>0</v>
      </c>
      <c r="AY48" s="1655">
        <v>0</v>
      </c>
      <c r="AZ48" s="1655">
        <v>0</v>
      </c>
      <c r="BA48" s="1655">
        <v>0</v>
      </c>
      <c r="BB48" s="1655">
        <v>0</v>
      </c>
      <c r="BC48" s="1655">
        <v>0</v>
      </c>
      <c r="BD48" s="1655">
        <v>0</v>
      </c>
      <c r="BE48" s="1655">
        <v>0</v>
      </c>
      <c r="BF48" s="1655">
        <v>0</v>
      </c>
      <c r="BG48" s="1655">
        <v>0</v>
      </c>
      <c r="BH48" s="1655">
        <v>0</v>
      </c>
      <c r="BI48" s="1655">
        <v>0</v>
      </c>
      <c r="BJ48" s="1655">
        <v>0</v>
      </c>
      <c r="BK48" s="1655">
        <v>0</v>
      </c>
      <c r="BL48" s="1655">
        <v>0</v>
      </c>
      <c r="BM48" s="1655">
        <v>0</v>
      </c>
      <c r="BN48" s="1655">
        <v>0</v>
      </c>
      <c r="BO48" s="1655">
        <v>0</v>
      </c>
      <c r="BP48" s="1655">
        <v>0</v>
      </c>
      <c r="BQ48" s="1655">
        <v>0</v>
      </c>
      <c r="BR48" s="1655">
        <v>0</v>
      </c>
      <c r="BS48" s="1655">
        <v>0</v>
      </c>
      <c r="BT48" s="1655">
        <v>0</v>
      </c>
      <c r="BU48" s="1655">
        <v>0</v>
      </c>
      <c r="BV48" s="1655">
        <v>0</v>
      </c>
      <c r="BW48" s="1655">
        <v>0</v>
      </c>
      <c r="BX48" s="1655">
        <v>0</v>
      </c>
      <c r="BY48" s="1655">
        <v>0</v>
      </c>
      <c r="BZ48" s="1655">
        <v>0</v>
      </c>
      <c r="CA48" s="1655">
        <v>0</v>
      </c>
      <c r="CB48" s="1655">
        <v>0</v>
      </c>
      <c r="CC48" s="1655">
        <v>0</v>
      </c>
      <c r="CD48" s="1655">
        <v>0</v>
      </c>
      <c r="CE48" s="1655">
        <v>0</v>
      </c>
      <c r="CF48" s="1655">
        <v>0</v>
      </c>
      <c r="CG48" s="1655">
        <v>0</v>
      </c>
      <c r="CH48" s="1655">
        <v>0</v>
      </c>
      <c r="CI48" s="1655">
        <v>0</v>
      </c>
      <c r="CJ48" s="1656">
        <v>0</v>
      </c>
    </row>
    <row r="49" spans="2:92" s="76" customFormat="1" ht="33" customHeight="1" x14ac:dyDescent="0.3">
      <c r="B49" s="1642" t="s">
        <v>711</v>
      </c>
      <c r="C49" s="1643" t="s">
        <v>712</v>
      </c>
      <c r="D49" s="1643" t="s">
        <v>82</v>
      </c>
      <c r="E49" s="1648" t="s">
        <v>398</v>
      </c>
      <c r="F49" s="1649">
        <v>0</v>
      </c>
      <c r="G49" s="1653">
        <v>0</v>
      </c>
      <c r="H49" s="1654">
        <v>0</v>
      </c>
      <c r="I49" s="1654">
        <v>0</v>
      </c>
      <c r="J49" s="1654">
        <v>0</v>
      </c>
      <c r="K49" s="1654">
        <v>0</v>
      </c>
      <c r="L49" s="1654">
        <v>0</v>
      </c>
      <c r="M49" s="1654">
        <v>1.728</v>
      </c>
      <c r="N49" s="1654">
        <v>1.7290000000000001</v>
      </c>
      <c r="O49" s="1654">
        <v>1729</v>
      </c>
      <c r="P49" s="1654">
        <v>1.7290000000000001</v>
      </c>
      <c r="Q49" s="1654">
        <v>1.7290000000000001</v>
      </c>
      <c r="R49" s="1654">
        <v>0</v>
      </c>
      <c r="S49" s="1645">
        <v>0</v>
      </c>
      <c r="T49" s="1645">
        <v>0</v>
      </c>
      <c r="U49" s="1645">
        <v>0</v>
      </c>
      <c r="V49" s="1645">
        <v>0</v>
      </c>
      <c r="W49" s="1645">
        <v>0</v>
      </c>
      <c r="X49" s="1645">
        <v>0</v>
      </c>
      <c r="Y49" s="1645">
        <v>0</v>
      </c>
      <c r="Z49" s="1645">
        <v>0</v>
      </c>
      <c r="AA49" s="1645">
        <v>0</v>
      </c>
      <c r="AB49" s="1645">
        <v>0</v>
      </c>
      <c r="AC49" s="1645">
        <v>0</v>
      </c>
      <c r="AD49" s="1645">
        <v>0</v>
      </c>
      <c r="AE49" s="1645">
        <v>0</v>
      </c>
      <c r="AF49" s="1645">
        <v>0</v>
      </c>
      <c r="AG49" s="1645">
        <v>0</v>
      </c>
      <c r="AH49" s="1645">
        <v>0</v>
      </c>
      <c r="AI49" s="1645">
        <v>0</v>
      </c>
      <c r="AJ49" s="1645">
        <v>0</v>
      </c>
      <c r="AK49" s="1645">
        <v>0</v>
      </c>
      <c r="AL49" s="1645">
        <v>0</v>
      </c>
      <c r="AM49" s="1645">
        <v>0</v>
      </c>
      <c r="AN49" s="1645">
        <v>0</v>
      </c>
      <c r="AO49" s="1645">
        <v>0</v>
      </c>
      <c r="AP49" s="1645">
        <v>0</v>
      </c>
      <c r="AQ49" s="1645">
        <v>0</v>
      </c>
      <c r="AR49" s="1645">
        <v>0</v>
      </c>
      <c r="AS49" s="1645">
        <v>0</v>
      </c>
      <c r="AT49" s="1645">
        <v>0</v>
      </c>
      <c r="AU49" s="1645">
        <v>0</v>
      </c>
      <c r="AV49" s="1645">
        <v>0</v>
      </c>
      <c r="AW49" s="1645">
        <v>0</v>
      </c>
      <c r="AX49" s="1645">
        <v>0</v>
      </c>
      <c r="AY49" s="1645">
        <v>0</v>
      </c>
      <c r="AZ49" s="1645">
        <v>0</v>
      </c>
      <c r="BA49" s="1645">
        <v>0</v>
      </c>
      <c r="BB49" s="1645">
        <v>0</v>
      </c>
      <c r="BC49" s="1645">
        <v>0</v>
      </c>
      <c r="BD49" s="1645">
        <v>0</v>
      </c>
      <c r="BE49" s="1645">
        <v>0</v>
      </c>
      <c r="BF49" s="1645">
        <v>0</v>
      </c>
      <c r="BG49" s="1645">
        <v>0</v>
      </c>
      <c r="BH49" s="1645">
        <v>0</v>
      </c>
      <c r="BI49" s="1645">
        <v>0</v>
      </c>
      <c r="BJ49" s="1645">
        <v>0</v>
      </c>
      <c r="BK49" s="1645">
        <v>0</v>
      </c>
      <c r="BL49" s="1645">
        <v>0</v>
      </c>
      <c r="BM49" s="1645">
        <v>0</v>
      </c>
      <c r="BN49" s="1645">
        <v>0</v>
      </c>
      <c r="BO49" s="1645">
        <v>0</v>
      </c>
      <c r="BP49" s="1645">
        <v>0</v>
      </c>
      <c r="BQ49" s="1645">
        <v>0</v>
      </c>
      <c r="BR49" s="1645">
        <v>0</v>
      </c>
      <c r="BS49" s="1645">
        <v>0</v>
      </c>
      <c r="BT49" s="1645">
        <v>0</v>
      </c>
      <c r="BU49" s="1645">
        <v>0</v>
      </c>
      <c r="BV49" s="1645">
        <v>0</v>
      </c>
      <c r="BW49" s="1645">
        <v>0</v>
      </c>
      <c r="BX49" s="1645">
        <v>0</v>
      </c>
      <c r="BY49" s="1645">
        <v>0</v>
      </c>
      <c r="BZ49" s="1645">
        <v>0</v>
      </c>
      <c r="CA49" s="1645">
        <v>0</v>
      </c>
      <c r="CB49" s="1645">
        <v>0</v>
      </c>
      <c r="CC49" s="1645">
        <v>0</v>
      </c>
      <c r="CD49" s="1645">
        <v>0</v>
      </c>
      <c r="CE49" s="1645">
        <v>0</v>
      </c>
      <c r="CF49" s="1645">
        <v>0</v>
      </c>
      <c r="CG49" s="1645">
        <v>0</v>
      </c>
      <c r="CH49" s="1645">
        <v>0</v>
      </c>
      <c r="CI49" s="1645">
        <v>0</v>
      </c>
      <c r="CJ49" s="1651">
        <f t="shared" ref="CJ49" si="6">SUM(CJ50:CJ52)</f>
        <v>0</v>
      </c>
      <c r="CK49" s="1244"/>
    </row>
    <row r="50" spans="2:92" s="76" customFormat="1" ht="28" x14ac:dyDescent="0.3">
      <c r="B50" s="1642" t="s">
        <v>713</v>
      </c>
      <c r="C50" s="1643" t="s">
        <v>714</v>
      </c>
      <c r="D50" s="1643" t="s">
        <v>82</v>
      </c>
      <c r="E50" s="1648" t="s">
        <v>398</v>
      </c>
      <c r="F50" s="1649">
        <v>0</v>
      </c>
      <c r="G50" s="1647">
        <v>0</v>
      </c>
      <c r="H50" s="1647">
        <v>0</v>
      </c>
      <c r="I50" s="1647">
        <v>0</v>
      </c>
      <c r="J50" s="1647">
        <v>0</v>
      </c>
      <c r="K50" s="1647">
        <v>0</v>
      </c>
      <c r="L50" s="1647">
        <v>0</v>
      </c>
      <c r="M50" s="1647">
        <v>0</v>
      </c>
      <c r="N50" s="1647">
        <v>0</v>
      </c>
      <c r="O50" s="1647">
        <v>0</v>
      </c>
      <c r="P50" s="1647">
        <v>0</v>
      </c>
      <c r="Q50" s="1647">
        <v>0</v>
      </c>
      <c r="R50" s="1647">
        <v>0</v>
      </c>
      <c r="S50" s="1647">
        <v>0</v>
      </c>
      <c r="T50" s="1647">
        <v>0</v>
      </c>
      <c r="U50" s="1647">
        <v>0</v>
      </c>
      <c r="V50" s="1647">
        <v>0</v>
      </c>
      <c r="W50" s="1647">
        <v>0</v>
      </c>
      <c r="X50" s="1647">
        <v>0</v>
      </c>
      <c r="Y50" s="1647">
        <v>0</v>
      </c>
      <c r="Z50" s="1647">
        <v>0</v>
      </c>
      <c r="AA50" s="1647">
        <v>0</v>
      </c>
      <c r="AB50" s="1647">
        <v>0</v>
      </c>
      <c r="AC50" s="1647">
        <v>0</v>
      </c>
      <c r="AD50" s="1647">
        <v>0</v>
      </c>
      <c r="AE50" s="1647">
        <v>0</v>
      </c>
      <c r="AF50" s="1647">
        <v>0</v>
      </c>
      <c r="AG50" s="1647">
        <v>0</v>
      </c>
      <c r="AH50" s="1647">
        <v>0</v>
      </c>
      <c r="AI50" s="1647">
        <v>0</v>
      </c>
      <c r="AJ50" s="1647">
        <v>0</v>
      </c>
      <c r="AK50" s="1647">
        <v>0</v>
      </c>
      <c r="AL50" s="1647">
        <v>0</v>
      </c>
      <c r="AM50" s="1647">
        <v>0</v>
      </c>
      <c r="AN50" s="1647">
        <v>0</v>
      </c>
      <c r="AO50" s="1647">
        <v>0</v>
      </c>
      <c r="AP50" s="1647">
        <v>0</v>
      </c>
      <c r="AQ50" s="1647">
        <v>0</v>
      </c>
      <c r="AR50" s="1647">
        <v>0</v>
      </c>
      <c r="AS50" s="1647">
        <v>0</v>
      </c>
      <c r="AT50" s="1647">
        <v>0</v>
      </c>
      <c r="AU50" s="1647">
        <v>0</v>
      </c>
      <c r="AV50" s="1647">
        <v>0</v>
      </c>
      <c r="AW50" s="1647">
        <v>0</v>
      </c>
      <c r="AX50" s="1647">
        <v>0</v>
      </c>
      <c r="AY50" s="1647">
        <v>0</v>
      </c>
      <c r="AZ50" s="1647">
        <v>0</v>
      </c>
      <c r="BA50" s="1647">
        <v>0</v>
      </c>
      <c r="BB50" s="1647">
        <v>0</v>
      </c>
      <c r="BC50" s="1647">
        <v>0</v>
      </c>
      <c r="BD50" s="1647">
        <v>0</v>
      </c>
      <c r="BE50" s="1647">
        <v>0</v>
      </c>
      <c r="BF50" s="1647">
        <v>0</v>
      </c>
      <c r="BG50" s="1647">
        <v>0</v>
      </c>
      <c r="BH50" s="1647">
        <v>0</v>
      </c>
      <c r="BI50" s="1647">
        <v>0</v>
      </c>
      <c r="BJ50" s="1647">
        <v>0</v>
      </c>
      <c r="BK50" s="1647">
        <v>0</v>
      </c>
      <c r="BL50" s="1647">
        <v>0</v>
      </c>
      <c r="BM50" s="1647">
        <v>0</v>
      </c>
      <c r="BN50" s="1647">
        <v>0</v>
      </c>
      <c r="BO50" s="1647">
        <v>0</v>
      </c>
      <c r="BP50" s="1647">
        <v>0</v>
      </c>
      <c r="BQ50" s="1647">
        <v>0</v>
      </c>
      <c r="BR50" s="1647">
        <v>0</v>
      </c>
      <c r="BS50" s="1647">
        <v>0</v>
      </c>
      <c r="BT50" s="1647">
        <v>0</v>
      </c>
      <c r="BU50" s="1647">
        <v>0</v>
      </c>
      <c r="BV50" s="1647">
        <v>0</v>
      </c>
      <c r="BW50" s="1647">
        <v>0</v>
      </c>
      <c r="BX50" s="1647">
        <v>0</v>
      </c>
      <c r="BY50" s="1647">
        <v>0</v>
      </c>
      <c r="BZ50" s="1647">
        <v>0</v>
      </c>
      <c r="CA50" s="1647">
        <v>0</v>
      </c>
      <c r="CB50" s="1647">
        <v>0</v>
      </c>
      <c r="CC50" s="1647">
        <v>0</v>
      </c>
      <c r="CD50" s="1647">
        <v>0</v>
      </c>
      <c r="CE50" s="1647">
        <v>0</v>
      </c>
      <c r="CF50" s="1647">
        <v>0</v>
      </c>
      <c r="CG50" s="1647">
        <v>0</v>
      </c>
      <c r="CH50" s="1647">
        <v>0</v>
      </c>
      <c r="CI50" s="1647">
        <v>0</v>
      </c>
      <c r="CJ50" s="1651">
        <v>0</v>
      </c>
    </row>
    <row r="51" spans="2:92" s="76" customFormat="1" ht="28" x14ac:dyDescent="0.3">
      <c r="B51" s="1642" t="s">
        <v>715</v>
      </c>
      <c r="C51" s="1643" t="s">
        <v>716</v>
      </c>
      <c r="D51" s="1643" t="s">
        <v>82</v>
      </c>
      <c r="E51" s="1648" t="s">
        <v>398</v>
      </c>
      <c r="F51" s="1649">
        <v>0</v>
      </c>
      <c r="G51" s="1647">
        <v>0</v>
      </c>
      <c r="H51" s="1647">
        <v>0</v>
      </c>
      <c r="I51" s="1647">
        <v>0</v>
      </c>
      <c r="J51" s="1647">
        <v>0</v>
      </c>
      <c r="K51" s="1647">
        <v>0</v>
      </c>
      <c r="L51" s="1647">
        <v>0</v>
      </c>
      <c r="M51" s="1647">
        <v>0</v>
      </c>
      <c r="N51" s="1647">
        <v>0</v>
      </c>
      <c r="O51" s="1647">
        <v>0</v>
      </c>
      <c r="P51" s="1647">
        <v>0</v>
      </c>
      <c r="Q51" s="1647">
        <v>0</v>
      </c>
      <c r="R51" s="1647">
        <v>0</v>
      </c>
      <c r="S51" s="1647">
        <v>0</v>
      </c>
      <c r="T51" s="1647">
        <v>0</v>
      </c>
      <c r="U51" s="1647">
        <v>0</v>
      </c>
      <c r="V51" s="1647">
        <v>0</v>
      </c>
      <c r="W51" s="1647">
        <v>0</v>
      </c>
      <c r="X51" s="1647">
        <v>0</v>
      </c>
      <c r="Y51" s="1647">
        <v>0</v>
      </c>
      <c r="Z51" s="1647">
        <v>0</v>
      </c>
      <c r="AA51" s="1647">
        <v>0</v>
      </c>
      <c r="AB51" s="1647">
        <v>0</v>
      </c>
      <c r="AC51" s="1647">
        <v>0</v>
      </c>
      <c r="AD51" s="1647">
        <v>0</v>
      </c>
      <c r="AE51" s="1647">
        <v>0</v>
      </c>
      <c r="AF51" s="1647">
        <v>0</v>
      </c>
      <c r="AG51" s="1647">
        <v>0</v>
      </c>
      <c r="AH51" s="1647">
        <v>0</v>
      </c>
      <c r="AI51" s="1647">
        <v>0</v>
      </c>
      <c r="AJ51" s="1647">
        <v>0</v>
      </c>
      <c r="AK51" s="1647">
        <v>0</v>
      </c>
      <c r="AL51" s="1647">
        <v>0</v>
      </c>
      <c r="AM51" s="1647">
        <v>0</v>
      </c>
      <c r="AN51" s="1647">
        <v>0</v>
      </c>
      <c r="AO51" s="1647">
        <v>0</v>
      </c>
      <c r="AP51" s="1647">
        <v>0</v>
      </c>
      <c r="AQ51" s="1647">
        <v>0</v>
      </c>
      <c r="AR51" s="1647">
        <v>0</v>
      </c>
      <c r="AS51" s="1647">
        <v>0</v>
      </c>
      <c r="AT51" s="1647">
        <v>0</v>
      </c>
      <c r="AU51" s="1647">
        <v>0</v>
      </c>
      <c r="AV51" s="1647">
        <v>0</v>
      </c>
      <c r="AW51" s="1647">
        <v>0</v>
      </c>
      <c r="AX51" s="1647">
        <v>0</v>
      </c>
      <c r="AY51" s="1647">
        <v>0</v>
      </c>
      <c r="AZ51" s="1647">
        <v>0</v>
      </c>
      <c r="BA51" s="1647">
        <v>0</v>
      </c>
      <c r="BB51" s="1647">
        <v>0</v>
      </c>
      <c r="BC51" s="1647">
        <v>0</v>
      </c>
      <c r="BD51" s="1647">
        <v>0</v>
      </c>
      <c r="BE51" s="1647">
        <v>0</v>
      </c>
      <c r="BF51" s="1647">
        <v>0</v>
      </c>
      <c r="BG51" s="1647">
        <v>0</v>
      </c>
      <c r="BH51" s="1647">
        <v>0</v>
      </c>
      <c r="BI51" s="1647">
        <v>0</v>
      </c>
      <c r="BJ51" s="1647">
        <v>0</v>
      </c>
      <c r="BK51" s="1647">
        <v>0</v>
      </c>
      <c r="BL51" s="1647">
        <v>0</v>
      </c>
      <c r="BM51" s="1647">
        <v>0</v>
      </c>
      <c r="BN51" s="1647">
        <v>0</v>
      </c>
      <c r="BO51" s="1647">
        <v>0</v>
      </c>
      <c r="BP51" s="1647">
        <v>0</v>
      </c>
      <c r="BQ51" s="1647">
        <v>0</v>
      </c>
      <c r="BR51" s="1647">
        <v>0</v>
      </c>
      <c r="BS51" s="1647">
        <v>0</v>
      </c>
      <c r="BT51" s="1647">
        <v>0</v>
      </c>
      <c r="BU51" s="1647">
        <v>0</v>
      </c>
      <c r="BV51" s="1647">
        <v>0</v>
      </c>
      <c r="BW51" s="1647">
        <v>0</v>
      </c>
      <c r="BX51" s="1647">
        <v>0</v>
      </c>
      <c r="BY51" s="1647">
        <v>0</v>
      </c>
      <c r="BZ51" s="1647">
        <v>0</v>
      </c>
      <c r="CA51" s="1647">
        <v>0</v>
      </c>
      <c r="CB51" s="1647">
        <v>0</v>
      </c>
      <c r="CC51" s="1647">
        <v>0</v>
      </c>
      <c r="CD51" s="1647">
        <v>0</v>
      </c>
      <c r="CE51" s="1647">
        <v>0</v>
      </c>
      <c r="CF51" s="1647">
        <v>0</v>
      </c>
      <c r="CG51" s="1647">
        <v>0</v>
      </c>
      <c r="CH51" s="1647">
        <v>0</v>
      </c>
      <c r="CI51" s="1647">
        <v>0</v>
      </c>
      <c r="CJ51" s="1651">
        <v>0</v>
      </c>
    </row>
    <row r="52" spans="2:92" s="76" customFormat="1" ht="28" x14ac:dyDescent="0.3">
      <c r="B52" s="1642" t="s">
        <v>717</v>
      </c>
      <c r="C52" s="1643" t="s">
        <v>718</v>
      </c>
      <c r="D52" s="1643" t="s">
        <v>82</v>
      </c>
      <c r="E52" s="1648" t="s">
        <v>398</v>
      </c>
      <c r="F52" s="1649">
        <v>0</v>
      </c>
      <c r="G52" s="1650">
        <v>0</v>
      </c>
      <c r="H52" s="1650">
        <v>0</v>
      </c>
      <c r="I52" s="1650">
        <v>0</v>
      </c>
      <c r="J52" s="1650">
        <v>0</v>
      </c>
      <c r="K52" s="1650">
        <v>0</v>
      </c>
      <c r="L52" s="1650">
        <v>0</v>
      </c>
      <c r="M52" s="1650">
        <v>1.728</v>
      </c>
      <c r="N52" s="1650">
        <v>1.7290000000000001</v>
      </c>
      <c r="O52" s="1650">
        <v>1729</v>
      </c>
      <c r="P52" s="1650">
        <v>1.7290000000000001</v>
      </c>
      <c r="Q52" s="1650">
        <v>1.7290000000000001</v>
      </c>
      <c r="R52" s="1650">
        <v>0</v>
      </c>
      <c r="S52" s="1650">
        <v>0</v>
      </c>
      <c r="T52" s="1650">
        <v>0</v>
      </c>
      <c r="U52" s="1650">
        <v>0</v>
      </c>
      <c r="V52" s="1650">
        <v>0</v>
      </c>
      <c r="W52" s="1650">
        <v>0</v>
      </c>
      <c r="X52" s="1650">
        <v>0</v>
      </c>
      <c r="Y52" s="1650">
        <v>0</v>
      </c>
      <c r="Z52" s="1650">
        <v>0</v>
      </c>
      <c r="AA52" s="1650">
        <v>0</v>
      </c>
      <c r="AB52" s="1650">
        <v>0</v>
      </c>
      <c r="AC52" s="1650">
        <v>0</v>
      </c>
      <c r="AD52" s="1650">
        <v>0</v>
      </c>
      <c r="AE52" s="1650">
        <v>0</v>
      </c>
      <c r="AF52" s="1650">
        <v>0</v>
      </c>
      <c r="AG52" s="1650">
        <v>0</v>
      </c>
      <c r="AH52" s="1650">
        <v>0</v>
      </c>
      <c r="AI52" s="1650">
        <v>0</v>
      </c>
      <c r="AJ52" s="1650">
        <v>0</v>
      </c>
      <c r="AK52" s="1650">
        <v>0</v>
      </c>
      <c r="AL52" s="1650">
        <v>0</v>
      </c>
      <c r="AM52" s="1650">
        <v>0</v>
      </c>
      <c r="AN52" s="1650">
        <v>0</v>
      </c>
      <c r="AO52" s="1650">
        <v>0</v>
      </c>
      <c r="AP52" s="1650">
        <v>0</v>
      </c>
      <c r="AQ52" s="1650">
        <v>0</v>
      </c>
      <c r="AR52" s="1650">
        <v>0</v>
      </c>
      <c r="AS52" s="1650">
        <v>0</v>
      </c>
      <c r="AT52" s="1650">
        <v>0</v>
      </c>
      <c r="AU52" s="1650">
        <v>0</v>
      </c>
      <c r="AV52" s="1650">
        <v>0</v>
      </c>
      <c r="AW52" s="1650">
        <v>0</v>
      </c>
      <c r="AX52" s="1650">
        <v>0</v>
      </c>
      <c r="AY52" s="1650">
        <v>0</v>
      </c>
      <c r="AZ52" s="1650">
        <v>0</v>
      </c>
      <c r="BA52" s="1650">
        <v>0</v>
      </c>
      <c r="BB52" s="1650">
        <v>0</v>
      </c>
      <c r="BC52" s="1650">
        <v>0</v>
      </c>
      <c r="BD52" s="1650">
        <v>0</v>
      </c>
      <c r="BE52" s="1650">
        <v>0</v>
      </c>
      <c r="BF52" s="1650">
        <v>0</v>
      </c>
      <c r="BG52" s="1650">
        <v>0</v>
      </c>
      <c r="BH52" s="1650">
        <v>0</v>
      </c>
      <c r="BI52" s="1650">
        <v>0</v>
      </c>
      <c r="BJ52" s="1650">
        <v>0</v>
      </c>
      <c r="BK52" s="1650">
        <v>0</v>
      </c>
      <c r="BL52" s="1650">
        <v>0</v>
      </c>
      <c r="BM52" s="1650">
        <v>0</v>
      </c>
      <c r="BN52" s="1650">
        <v>0</v>
      </c>
      <c r="BO52" s="1650">
        <v>0</v>
      </c>
      <c r="BP52" s="1650">
        <v>0</v>
      </c>
      <c r="BQ52" s="1650">
        <v>0</v>
      </c>
      <c r="BR52" s="1650">
        <v>0</v>
      </c>
      <c r="BS52" s="1650">
        <v>0</v>
      </c>
      <c r="BT52" s="1650">
        <v>0</v>
      </c>
      <c r="BU52" s="1650">
        <v>0</v>
      </c>
      <c r="BV52" s="1650">
        <v>0</v>
      </c>
      <c r="BW52" s="1650">
        <v>0</v>
      </c>
      <c r="BX52" s="1650">
        <v>0</v>
      </c>
      <c r="BY52" s="1650">
        <v>0</v>
      </c>
      <c r="BZ52" s="1650">
        <v>0</v>
      </c>
      <c r="CA52" s="1650">
        <v>0</v>
      </c>
      <c r="CB52" s="1650">
        <v>0</v>
      </c>
      <c r="CC52" s="1650">
        <v>0</v>
      </c>
      <c r="CD52" s="1650">
        <v>0</v>
      </c>
      <c r="CE52" s="1650">
        <v>0</v>
      </c>
      <c r="CF52" s="1650">
        <v>0</v>
      </c>
      <c r="CG52" s="1650">
        <v>0</v>
      </c>
      <c r="CH52" s="1652">
        <v>0</v>
      </c>
      <c r="CI52" s="1652">
        <v>0</v>
      </c>
      <c r="CJ52" s="1646">
        <v>0</v>
      </c>
    </row>
    <row r="54" spans="2:92" ht="44.75" customHeight="1" x14ac:dyDescent="0.35">
      <c r="B54" s="468" t="s">
        <v>719</v>
      </c>
      <c r="C54" s="4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1244"/>
      <c r="CL54" s="1244"/>
      <c r="CM54" s="1244"/>
      <c r="CN54" s="1244"/>
    </row>
    <row r="55" spans="2:92" ht="14.5" thickBot="1" x14ac:dyDescent="0.4">
      <c r="B55" s="1214" t="s">
        <v>65</v>
      </c>
      <c r="C55" s="1215" t="s">
        <v>218</v>
      </c>
      <c r="D55" s="1215" t="s">
        <v>66</v>
      </c>
      <c r="E55" s="1215" t="s">
        <v>219</v>
      </c>
      <c r="F55" s="1215" t="s">
        <v>220</v>
      </c>
      <c r="G55" s="1214" t="s">
        <v>221</v>
      </c>
      <c r="H55" s="1215" t="s">
        <v>222</v>
      </c>
      <c r="I55" s="1215" t="s">
        <v>223</v>
      </c>
      <c r="J55" s="1215" t="s">
        <v>224</v>
      </c>
      <c r="K55" s="1215" t="s">
        <v>225</v>
      </c>
      <c r="L55" s="1215" t="s">
        <v>226</v>
      </c>
      <c r="M55" s="1215" t="s">
        <v>227</v>
      </c>
      <c r="N55" s="1215" t="s">
        <v>228</v>
      </c>
      <c r="O55" s="1215" t="s">
        <v>229</v>
      </c>
      <c r="P55" s="1215" t="s">
        <v>230</v>
      </c>
      <c r="Q55" s="1215" t="s">
        <v>231</v>
      </c>
      <c r="R55" s="1215" t="s">
        <v>232</v>
      </c>
      <c r="S55" s="1215" t="s">
        <v>233</v>
      </c>
      <c r="T55" s="1215" t="s">
        <v>234</v>
      </c>
      <c r="U55" s="1215" t="s">
        <v>235</v>
      </c>
      <c r="V55" s="1215" t="s">
        <v>236</v>
      </c>
      <c r="W55" s="1215" t="s">
        <v>237</v>
      </c>
      <c r="X55" s="1215" t="s">
        <v>238</v>
      </c>
      <c r="Y55" s="1215" t="s">
        <v>239</v>
      </c>
      <c r="Z55" s="1215" t="s">
        <v>240</v>
      </c>
      <c r="AA55" s="1215" t="s">
        <v>241</v>
      </c>
      <c r="AB55" s="1215" t="s">
        <v>242</v>
      </c>
      <c r="AC55" s="1215" t="s">
        <v>243</v>
      </c>
      <c r="AD55" s="1215" t="s">
        <v>244</v>
      </c>
      <c r="AE55" s="1215" t="s">
        <v>245</v>
      </c>
      <c r="AF55" s="1215" t="s">
        <v>246</v>
      </c>
      <c r="AG55" s="1215" t="s">
        <v>247</v>
      </c>
      <c r="AH55" s="1215" t="s">
        <v>248</v>
      </c>
      <c r="AI55" s="1215" t="s">
        <v>249</v>
      </c>
      <c r="AJ55" s="1215" t="s">
        <v>250</v>
      </c>
      <c r="AK55" s="1215" t="s">
        <v>251</v>
      </c>
      <c r="AL55" s="1215" t="s">
        <v>252</v>
      </c>
      <c r="AM55" s="1215" t="s">
        <v>253</v>
      </c>
      <c r="AN55" s="1215" t="s">
        <v>254</v>
      </c>
      <c r="AO55" s="1215" t="s">
        <v>255</v>
      </c>
      <c r="AP55" s="1215" t="s">
        <v>256</v>
      </c>
      <c r="AQ55" s="1215" t="s">
        <v>257</v>
      </c>
      <c r="AR55" s="1215" t="s">
        <v>258</v>
      </c>
      <c r="AS55" s="1215" t="s">
        <v>259</v>
      </c>
      <c r="AT55" s="1215" t="s">
        <v>260</v>
      </c>
      <c r="AU55" s="1215" t="s">
        <v>261</v>
      </c>
      <c r="AV55" s="1215" t="s">
        <v>262</v>
      </c>
      <c r="AW55" s="1215" t="s">
        <v>263</v>
      </c>
      <c r="AX55" s="1215" t="s">
        <v>264</v>
      </c>
      <c r="AY55" s="1215" t="s">
        <v>265</v>
      </c>
      <c r="AZ55" s="1215" t="s">
        <v>266</v>
      </c>
      <c r="BA55" s="1215" t="s">
        <v>267</v>
      </c>
      <c r="BB55" s="1215" t="s">
        <v>268</v>
      </c>
      <c r="BC55" s="1215" t="s">
        <v>269</v>
      </c>
      <c r="BD55" s="1215" t="s">
        <v>270</v>
      </c>
      <c r="BE55" s="1215" t="s">
        <v>271</v>
      </c>
      <c r="BF55" s="1215" t="s">
        <v>272</v>
      </c>
      <c r="BG55" s="1215" t="s">
        <v>273</v>
      </c>
      <c r="BH55" s="1215" t="s">
        <v>274</v>
      </c>
      <c r="BI55" s="1215" t="s">
        <v>275</v>
      </c>
      <c r="BJ55" s="1215" t="s">
        <v>276</v>
      </c>
      <c r="BK55" s="1215" t="s">
        <v>277</v>
      </c>
      <c r="BL55" s="1215" t="s">
        <v>278</v>
      </c>
      <c r="BM55" s="1215" t="s">
        <v>279</v>
      </c>
      <c r="BN55" s="1215" t="s">
        <v>280</v>
      </c>
      <c r="BO55" s="1215" t="s">
        <v>281</v>
      </c>
      <c r="BP55" s="1215" t="s">
        <v>282</v>
      </c>
      <c r="BQ55" s="1215" t="s">
        <v>283</v>
      </c>
      <c r="BR55" s="1215" t="s">
        <v>284</v>
      </c>
      <c r="BS55" s="1215" t="s">
        <v>285</v>
      </c>
      <c r="BT55" s="1215" t="s">
        <v>286</v>
      </c>
      <c r="BU55" s="1215" t="s">
        <v>287</v>
      </c>
      <c r="BV55" s="1215" t="s">
        <v>288</v>
      </c>
      <c r="BW55" s="1215" t="s">
        <v>289</v>
      </c>
      <c r="BX55" s="1215" t="s">
        <v>290</v>
      </c>
      <c r="BY55" s="1215" t="s">
        <v>291</v>
      </c>
      <c r="BZ55" s="1215" t="s">
        <v>292</v>
      </c>
      <c r="CA55" s="1215" t="s">
        <v>293</v>
      </c>
      <c r="CB55" s="1215" t="s">
        <v>294</v>
      </c>
      <c r="CC55" s="1215" t="s">
        <v>295</v>
      </c>
      <c r="CD55" s="1215" t="s">
        <v>296</v>
      </c>
      <c r="CE55" s="1215" t="s">
        <v>297</v>
      </c>
      <c r="CF55" s="1215" t="s">
        <v>298</v>
      </c>
      <c r="CG55" s="1215" t="s">
        <v>299</v>
      </c>
      <c r="CH55" s="1215" t="s">
        <v>300</v>
      </c>
      <c r="CI55" s="1215" t="s">
        <v>301</v>
      </c>
      <c r="CJ55" s="1246" t="s">
        <v>658</v>
      </c>
    </row>
    <row r="56" spans="2:92" ht="14.5" thickBot="1" x14ac:dyDescent="0.4">
      <c r="B56" s="1216" t="s">
        <v>720</v>
      </c>
      <c r="C56" s="568" t="s">
        <v>721</v>
      </c>
      <c r="D56" s="569" t="s">
        <v>722</v>
      </c>
      <c r="E56" s="568" t="s">
        <v>305</v>
      </c>
      <c r="F56" s="570">
        <v>2</v>
      </c>
      <c r="G56" s="435">
        <f>CAMCAM!G40</f>
        <v>4.8</v>
      </c>
      <c r="H56" s="435">
        <f>CAMCAM!H40</f>
        <v>4.8</v>
      </c>
      <c r="I56" s="435">
        <f>CAMCAM!I40</f>
        <v>4.8</v>
      </c>
      <c r="J56" s="435">
        <f>CAMCAM!J40</f>
        <v>4.8</v>
      </c>
      <c r="K56" s="435">
        <f>CAMCAM!K40</f>
        <v>4.8</v>
      </c>
      <c r="L56" s="435">
        <f>CAMCAM!L40</f>
        <v>4.8</v>
      </c>
      <c r="M56" s="435">
        <f>CAMCAM!M40</f>
        <v>4.9000000000000004</v>
      </c>
      <c r="N56" s="435">
        <f>CAMCAM!N40</f>
        <v>4.9000000000000004</v>
      </c>
      <c r="O56" s="435">
        <f>CAMCAM!O40</f>
        <v>4.9000000000000004</v>
      </c>
      <c r="P56" s="435">
        <f>CAMCAM!P40</f>
        <v>4.9000000000000004</v>
      </c>
      <c r="Q56" s="435">
        <f>CAMCAM!Q40</f>
        <v>4.9000000000000004</v>
      </c>
      <c r="R56" s="435">
        <f>CAMCAM!R40</f>
        <v>4.9000000000000004</v>
      </c>
      <c r="S56" s="435">
        <f>CAMCAM!S40</f>
        <v>4.9000000000000004</v>
      </c>
      <c r="T56" s="435">
        <f>CAMCAM!T40</f>
        <v>4.9000000000000004</v>
      </c>
      <c r="U56" s="435">
        <f>CAMCAM!U40</f>
        <v>4.9000000000000004</v>
      </c>
      <c r="V56" s="435">
        <f>CAMCAM!V40</f>
        <v>4.9000000000000004</v>
      </c>
      <c r="W56" s="435">
        <f>CAMCAM!W40</f>
        <v>4.9000000000000004</v>
      </c>
      <c r="X56" s="435">
        <f>CAMCAM!X40</f>
        <v>4.9000000000000004</v>
      </c>
      <c r="Y56" s="435">
        <f>CAMCAM!Y40</f>
        <v>4.9000000000000004</v>
      </c>
      <c r="Z56" s="435">
        <f>CAMCAM!Z40</f>
        <v>4.9000000000000004</v>
      </c>
      <c r="AA56" s="435">
        <f>CAMCAM!AA40</f>
        <v>4.9000000000000004</v>
      </c>
      <c r="AB56" s="435">
        <f>CAMCAM!AB40</f>
        <v>4.9000000000000004</v>
      </c>
      <c r="AC56" s="435">
        <f>CAMCAM!AC40</f>
        <v>4.9000000000000004</v>
      </c>
      <c r="AD56" s="435">
        <f>CAMCAM!AD40</f>
        <v>4.9000000000000004</v>
      </c>
      <c r="AE56" s="435">
        <f>CAMCAM!AE40</f>
        <v>4.9000000000000004</v>
      </c>
      <c r="AF56" s="435">
        <f>CAMCAM!AF40</f>
        <v>4.9000000000000004</v>
      </c>
      <c r="AG56" s="435">
        <f>CAMCAM!AG40</f>
        <v>4.9000000000000004</v>
      </c>
      <c r="AH56" s="435">
        <f>CAMCAM!AH40</f>
        <v>4.9000000000000004</v>
      </c>
      <c r="AI56" s="435">
        <f>CAMCAM!AI40</f>
        <v>4.9000000000000004</v>
      </c>
      <c r="AJ56" s="435">
        <f>CAMCAM!AJ40</f>
        <v>4.9000000000000004</v>
      </c>
      <c r="AK56" s="435">
        <f>CAMCAM!AK40</f>
        <v>4.9000000000000004</v>
      </c>
      <c r="AL56" s="435">
        <f>CAMCAM!AL40</f>
        <v>4.9000000000000004</v>
      </c>
      <c r="AM56" s="435">
        <f>CAMCAM!AM40</f>
        <v>4.9000000000000004</v>
      </c>
      <c r="AN56" s="435">
        <f>CAMCAM!AN40</f>
        <v>4.9000000000000004</v>
      </c>
      <c r="AO56" s="435">
        <f>CAMCAM!AO40</f>
        <v>4.9000000000000004</v>
      </c>
      <c r="AP56" s="435">
        <f>CAMCAM!AP40</f>
        <v>4.9000000000000004</v>
      </c>
      <c r="AQ56" s="435">
        <f>CAMCAM!AQ40</f>
        <v>4.9000000000000004</v>
      </c>
      <c r="AR56" s="435">
        <f>CAMCAM!AR40</f>
        <v>4.9000000000000004</v>
      </c>
      <c r="AS56" s="435">
        <f>CAMCAM!AS40</f>
        <v>4.9000000000000004</v>
      </c>
      <c r="AT56" s="435">
        <f>CAMCAM!AT40</f>
        <v>4.9000000000000004</v>
      </c>
      <c r="AU56" s="435">
        <f>CAMCAM!AU40</f>
        <v>4.9000000000000004</v>
      </c>
      <c r="AV56" s="435">
        <f>CAMCAM!AV40</f>
        <v>4.9000000000000004</v>
      </c>
      <c r="AW56" s="435">
        <f>CAMCAM!AW40</f>
        <v>4.9000000000000004</v>
      </c>
      <c r="AX56" s="435">
        <f>CAMCAM!AX40</f>
        <v>4.9000000000000004</v>
      </c>
      <c r="AY56" s="435">
        <f>CAMCAM!AY40</f>
        <v>4.9000000000000004</v>
      </c>
      <c r="AZ56" s="435">
        <f>CAMCAM!AZ40</f>
        <v>4.9000000000000004</v>
      </c>
      <c r="BA56" s="435">
        <f>CAMCAM!BA40</f>
        <v>4.9000000000000004</v>
      </c>
      <c r="BB56" s="435">
        <f>CAMCAM!BB40</f>
        <v>4.9000000000000004</v>
      </c>
      <c r="BC56" s="435">
        <f>CAMCAM!BC40</f>
        <v>4.9000000000000004</v>
      </c>
      <c r="BD56" s="435">
        <f>CAMCAM!BD40</f>
        <v>4.9000000000000004</v>
      </c>
      <c r="BE56" s="435">
        <f>CAMCAM!BE40</f>
        <v>4.9000000000000004</v>
      </c>
      <c r="BF56" s="435">
        <f>CAMCAM!BF40</f>
        <v>4.9000000000000004</v>
      </c>
      <c r="BG56" s="435">
        <f>CAMCAM!BG40</f>
        <v>4.9000000000000004</v>
      </c>
      <c r="BH56" s="435">
        <f>CAMCAM!BH40</f>
        <v>4.9000000000000004</v>
      </c>
      <c r="BI56" s="435">
        <f>CAMCAM!BI40</f>
        <v>4.9000000000000004</v>
      </c>
      <c r="BJ56" s="435">
        <f>CAMCAM!BJ40</f>
        <v>4.9000000000000004</v>
      </c>
      <c r="BK56" s="435">
        <f>CAMCAM!BK40</f>
        <v>4.9000000000000004</v>
      </c>
      <c r="BL56" s="435">
        <f>CAMCAM!BL40</f>
        <v>4.9000000000000004</v>
      </c>
      <c r="BM56" s="435">
        <f>CAMCAM!BM40</f>
        <v>4.9000000000000004</v>
      </c>
      <c r="BN56" s="435">
        <f>CAMCAM!BN40</f>
        <v>4.9000000000000004</v>
      </c>
      <c r="BO56" s="435">
        <f>CAMCAM!BO40</f>
        <v>4.9000000000000004</v>
      </c>
      <c r="BP56" s="435">
        <f>CAMCAM!BP40</f>
        <v>4.9000000000000004</v>
      </c>
      <c r="BQ56" s="435">
        <f>CAMCAM!BQ40</f>
        <v>4.9000000000000004</v>
      </c>
      <c r="BR56" s="435">
        <f>CAMCAM!BR40</f>
        <v>4.9000000000000004</v>
      </c>
      <c r="BS56" s="435">
        <f>CAMCAM!BS40</f>
        <v>4.9000000000000004</v>
      </c>
      <c r="BT56" s="435">
        <f>CAMCAM!BT40</f>
        <v>4.9000000000000004</v>
      </c>
      <c r="BU56" s="435">
        <f>CAMCAM!BU40</f>
        <v>4.9000000000000004</v>
      </c>
      <c r="BV56" s="435">
        <f>CAMCAM!BV40</f>
        <v>4.9000000000000004</v>
      </c>
      <c r="BW56" s="435">
        <f>CAMCAM!BW40</f>
        <v>4.9000000000000004</v>
      </c>
      <c r="BX56" s="435">
        <f>CAMCAM!BX40</f>
        <v>4.9000000000000004</v>
      </c>
      <c r="BY56" s="435">
        <f>CAMCAM!BY40</f>
        <v>4.9000000000000004</v>
      </c>
      <c r="BZ56" s="435">
        <f>CAMCAM!BZ40</f>
        <v>4.9000000000000004</v>
      </c>
      <c r="CA56" s="435">
        <f>CAMCAM!CA40</f>
        <v>4.9000000000000004</v>
      </c>
      <c r="CB56" s="435">
        <f>CAMCAM!CB40</f>
        <v>4.9000000000000004</v>
      </c>
      <c r="CC56" s="435">
        <f>CAMCAM!CC40</f>
        <v>4.9000000000000004</v>
      </c>
      <c r="CD56" s="435">
        <f>CAMCAM!CD40</f>
        <v>4.9000000000000004</v>
      </c>
      <c r="CE56" s="435">
        <f>CAMCAM!CE40</f>
        <v>4.9000000000000004</v>
      </c>
      <c r="CF56" s="435">
        <f>CAMCAM!CF40</f>
        <v>4.9000000000000004</v>
      </c>
      <c r="CG56" s="435">
        <f>CAMCAM!CG40</f>
        <v>4.9000000000000004</v>
      </c>
      <c r="CH56" s="435">
        <f>CAMCAM!CH40</f>
        <v>4.9000000000000004</v>
      </c>
      <c r="CI56" s="435">
        <f>CAMCAM!CI40</f>
        <v>4.9000000000000004</v>
      </c>
      <c r="CJ56" s="435"/>
    </row>
    <row r="57" spans="2:92" ht="42" x14ac:dyDescent="0.35">
      <c r="B57" s="1217" t="s">
        <v>723</v>
      </c>
      <c r="C57" s="1218" t="s">
        <v>371</v>
      </c>
      <c r="D57" s="522" t="s">
        <v>724</v>
      </c>
      <c r="E57" s="1218" t="s">
        <v>366</v>
      </c>
      <c r="F57" s="523">
        <v>1</v>
      </c>
      <c r="G57" s="436">
        <f xml:space="preserve"> ( ( SUM(CAMCAM!G$46) + SUM(CAMCAM!G$47)  -  SUM(CAMCAM!G$57) - SUM(CAMCAM!G$58) ) * 1000000 )/ ( ( SUM(CAMCAM!G$79) + SUM(CAMCAM!G$80) ) * 1000 )</f>
        <v>157.45232109279306</v>
      </c>
      <c r="H57" s="436">
        <f xml:space="preserve"> ( ( SUM(CAMCAM!H$46) + SUM(CAMCAM!H$47)  -  SUM(CAMCAM!H$57) - SUM(CAMCAM!H$58) ) * 1000000 )/ ( ( SUM(CAMCAM!H$79) + SUM(CAMCAM!H$80) ) * 1000 )</f>
        <v>143.50899656602431</v>
      </c>
      <c r="I57" s="436">
        <f xml:space="preserve"> ( ( SUM(CAMCAM!I$46) + SUM(CAMCAM!I$47)  -  SUM(CAMCAM!I$57) - SUM(CAMCAM!I$58) ) * 1000000 )/ ( ( SUM(CAMCAM!I$79) + SUM(CAMCAM!I$80) ) * 1000 )</f>
        <v>137.14817351732324</v>
      </c>
      <c r="J57" s="436">
        <f xml:space="preserve"> ( ( SUM(CAMCAM!J$46) + SUM(CAMCAM!J$47)  -  SUM(CAMCAM!J$57) - SUM(CAMCAM!J$58) ) * 1000000 )/ ( ( SUM(CAMCAM!J$79) + SUM(CAMCAM!J$80) ) * 1000 )</f>
        <v>130.16298854946021</v>
      </c>
      <c r="K57" s="436">
        <f xml:space="preserve"> ( ( SUM(CAMCAM!K$46) + SUM(CAMCAM!K$47)  -  SUM(CAMCAM!K$57) - SUM(CAMCAM!K$58) ) * 1000000 )/ ( ( SUM(CAMCAM!K$79) + SUM(CAMCAM!K$80) ) * 1000 )</f>
        <v>124.20933472963576</v>
      </c>
      <c r="L57" s="436">
        <f xml:space="preserve"> ( ( SUM(CAMCAM!L$46) + SUM(CAMCAM!L$47)  -  SUM(CAMCAM!L$57) - SUM(CAMCAM!L$58) ) * 1000000 )/ ( ( SUM(CAMCAM!L$79) + SUM(CAMCAM!L$80) ) * 1000 )</f>
        <v>123.81872143538924</v>
      </c>
      <c r="M57" s="436">
        <f xml:space="preserve"> ( ( SUM(CAMCAM!M$46) + SUM(CAMCAM!M$47)  -  SUM(CAMCAM!M$57) - SUM(CAMCAM!M$58) ) * 1000000 )/ ( ( SUM(CAMCAM!M$79) + SUM(CAMCAM!M$80) ) * 1000 )</f>
        <v>122.83042262926136</v>
      </c>
      <c r="N57" s="436">
        <f xml:space="preserve"> ( ( SUM(CAMCAM!N$46) + SUM(CAMCAM!N$47)  -  SUM(CAMCAM!N$57) - SUM(CAMCAM!N$58) ) * 1000000 )/ ( ( SUM(CAMCAM!N$79) + SUM(CAMCAM!N$80) ) * 1000 )</f>
        <v>122.87707346911434</v>
      </c>
      <c r="O57" s="436">
        <f xml:space="preserve"> ( ( SUM(CAMCAM!O$46) + SUM(CAMCAM!O$47)  -  SUM(CAMCAM!O$57) - SUM(CAMCAM!O$58) ) * 1000000 )/ ( ( SUM(CAMCAM!O$79) + SUM(CAMCAM!O$80) ) * 1000 )</f>
        <v>122.50617298223011</v>
      </c>
      <c r="P57" s="436">
        <f xml:space="preserve"> ( ( SUM(CAMCAM!P$46) + SUM(CAMCAM!P$47)  -  SUM(CAMCAM!P$57) - SUM(CAMCAM!P$58) ) * 1000000 )/ ( ( SUM(CAMCAM!P$79) + SUM(CAMCAM!P$80) ) * 1000 )</f>
        <v>122.00245341381827</v>
      </c>
      <c r="Q57" s="436">
        <f xml:space="preserve"> ( ( SUM(CAMCAM!Q$46) + SUM(CAMCAM!Q$47)  -  SUM(CAMCAM!Q$57) - SUM(CAMCAM!Q$58) ) * 1000000 )/ ( ( SUM(CAMCAM!Q$79) + SUM(CAMCAM!Q$80) ) * 1000 )</f>
        <v>121.53582972773158</v>
      </c>
      <c r="R57" s="436">
        <f xml:space="preserve"> ( ( SUM(CAMCAM!R$46) + SUM(CAMCAM!R$47)  -  SUM(CAMCAM!R$57) - SUM(CAMCAM!R$58) ) * 1000000 )/ ( ( SUM(CAMCAM!R$79) + SUM(CAMCAM!R$80) ) * 1000 )</f>
        <v>120.8307312570369</v>
      </c>
      <c r="S57" s="436">
        <f xml:space="preserve"> ( ( SUM(CAMCAM!S$46) + SUM(CAMCAM!S$47)  -  SUM(CAMCAM!S$57) - SUM(CAMCAM!S$58) ) * 1000000 )/ ( ( SUM(CAMCAM!S$79) + SUM(CAMCAM!S$80) ) * 1000 )</f>
        <v>120.25057843403781</v>
      </c>
      <c r="T57" s="436">
        <f xml:space="preserve"> ( ( SUM(CAMCAM!T$46) + SUM(CAMCAM!T$47)  -  SUM(CAMCAM!T$57) - SUM(CAMCAM!T$58) ) * 1000000 )/ ( ( SUM(CAMCAM!T$79) + SUM(CAMCAM!T$80) ) * 1000 )</f>
        <v>119.97564286889057</v>
      </c>
      <c r="U57" s="436">
        <f xml:space="preserve"> ( ( SUM(CAMCAM!U$46) + SUM(CAMCAM!U$47)  -  SUM(CAMCAM!U$57) - SUM(CAMCAM!U$58) ) * 1000000 )/ ( ( SUM(CAMCAM!U$79) + SUM(CAMCAM!U$80) ) * 1000 )</f>
        <v>119.69721788782206</v>
      </c>
      <c r="V57" s="436">
        <f xml:space="preserve"> ( ( SUM(CAMCAM!V$46) + SUM(CAMCAM!V$47)  -  SUM(CAMCAM!V$57) - SUM(CAMCAM!V$58) ) * 1000000 )/ ( ( SUM(CAMCAM!V$79) + SUM(CAMCAM!V$80) ) * 1000 )</f>
        <v>119.28731833548116</v>
      </c>
      <c r="W57" s="436">
        <f xml:space="preserve"> ( ( SUM(CAMCAM!W$46) + SUM(CAMCAM!W$47)  -  SUM(CAMCAM!W$57) - SUM(CAMCAM!W$58) ) * 1000000 )/ ( ( SUM(CAMCAM!W$79) + SUM(CAMCAM!W$80) ) * 1000 )</f>
        <v>118.94832340639654</v>
      </c>
      <c r="X57" s="436">
        <f xml:space="preserve"> ( ( SUM(CAMCAM!X$46) + SUM(CAMCAM!X$47)  -  SUM(CAMCAM!X$57) - SUM(CAMCAM!X$58) ) * 1000000 )/ ( ( SUM(CAMCAM!X$79) + SUM(CAMCAM!X$80) ) * 1000 )</f>
        <v>118.68157861496603</v>
      </c>
      <c r="Y57" s="436">
        <f xml:space="preserve"> ( ( SUM(CAMCAM!Y$46) + SUM(CAMCAM!Y$47)  -  SUM(CAMCAM!Y$57) - SUM(CAMCAM!Y$58) ) * 1000000 )/ ( ( SUM(CAMCAM!Y$79) + SUM(CAMCAM!Y$80) ) * 1000 )</f>
        <v>118.52077497954807</v>
      </c>
      <c r="Z57" s="436">
        <f xml:space="preserve"> ( ( SUM(CAMCAM!Z$46) + SUM(CAMCAM!Z$47)  -  SUM(CAMCAM!Z$57) - SUM(CAMCAM!Z$58) ) * 1000000 )/ ( ( SUM(CAMCAM!Z$79) + SUM(CAMCAM!Z$80) ) * 1000 )</f>
        <v>118.25056988287034</v>
      </c>
      <c r="AA57" s="436">
        <f xml:space="preserve"> ( ( SUM(CAMCAM!AA$46) + SUM(CAMCAM!AA$47)  -  SUM(CAMCAM!AA$57) - SUM(CAMCAM!AA$58) ) * 1000000 )/ ( ( SUM(CAMCAM!AA$79) + SUM(CAMCAM!AA$80) ) * 1000 )</f>
        <v>118.08265377777661</v>
      </c>
      <c r="AB57" s="436">
        <f xml:space="preserve"> ( ( SUM(CAMCAM!AB$46) + SUM(CAMCAM!AB$47)  -  SUM(CAMCAM!AB$57) - SUM(CAMCAM!AB$58) ) * 1000000 )/ ( ( SUM(CAMCAM!AB$79) + SUM(CAMCAM!AB$80) ) * 1000 )</f>
        <v>117.89023573450982</v>
      </c>
      <c r="AC57" s="436">
        <f xml:space="preserve"> ( ( SUM(CAMCAM!AC$46) + SUM(CAMCAM!AC$47)  -  SUM(CAMCAM!AC$57) - SUM(CAMCAM!AC$58) ) * 1000000 )/ ( ( SUM(CAMCAM!AC$79) + SUM(CAMCAM!AC$80) ) * 1000 )</f>
        <v>117.69142107920432</v>
      </c>
      <c r="AD57" s="436">
        <f xml:space="preserve"> ( ( SUM(CAMCAM!AD$46) + SUM(CAMCAM!AD$47)  -  SUM(CAMCAM!AD$57) - SUM(CAMCAM!AD$58) ) * 1000000 )/ ( ( SUM(CAMCAM!AD$79) + SUM(CAMCAM!AD$80) ) * 1000 )</f>
        <v>117.49948523115076</v>
      </c>
      <c r="AE57" s="436">
        <f xml:space="preserve"> ( ( SUM(CAMCAM!AE$46) + SUM(CAMCAM!AE$47)  -  SUM(CAMCAM!AE$57) - SUM(CAMCAM!AE$58) ) * 1000000 )/ ( ( SUM(CAMCAM!AE$79) + SUM(CAMCAM!AE$80) ) * 1000 )</f>
        <v>117.28183149660924</v>
      </c>
      <c r="AF57" s="436">
        <f xml:space="preserve"> ( ( SUM(CAMCAM!AF$46) + SUM(CAMCAM!AF$47)  -  SUM(CAMCAM!AF$57) - SUM(CAMCAM!AF$58) ) * 1000000 )/ ( ( SUM(CAMCAM!AF$79) + SUM(CAMCAM!AF$80) ) * 1000 )</f>
        <v>117.05706989359535</v>
      </c>
      <c r="AG57" s="436">
        <f xml:space="preserve"> ( ( SUM(CAMCAM!AG$46) + SUM(CAMCAM!AG$47)  -  SUM(CAMCAM!AG$57) - SUM(CAMCAM!AG$58) ) * 1000000 )/ ( ( SUM(CAMCAM!AG$79) + SUM(CAMCAM!AG$80) ) * 1000 )</f>
        <v>116.85597615049316</v>
      </c>
      <c r="AH57" s="436">
        <f xml:space="preserve"> ( ( SUM(CAMCAM!AH$46) + SUM(CAMCAM!AH$47)  -  SUM(CAMCAM!AH$57) - SUM(CAMCAM!AH$58) ) * 1000000 )/ ( ( SUM(CAMCAM!AH$79) + SUM(CAMCAM!AH$80) ) * 1000 )</f>
        <v>116.67689098521691</v>
      </c>
      <c r="AI57" s="436">
        <f xml:space="preserve"> ( ( SUM(CAMCAM!AI$46) + SUM(CAMCAM!AI$47)  -  SUM(CAMCAM!AI$57) - SUM(CAMCAM!AI$58) ) * 1000000 )/ ( ( SUM(CAMCAM!AI$79) + SUM(CAMCAM!AI$80) ) * 1000 )</f>
        <v>116.48553990135323</v>
      </c>
      <c r="AJ57" s="436">
        <f xml:space="preserve"> ( ( SUM(CAMCAM!AJ$46) + SUM(CAMCAM!AJ$47)  -  SUM(CAMCAM!AJ$57) - SUM(CAMCAM!AJ$58) ) * 1000000 )/ ( ( SUM(CAMCAM!AJ$79) + SUM(CAMCAM!AJ$80) ) * 1000 )</f>
        <v>116.2852425790531</v>
      </c>
      <c r="AK57" s="436">
        <f xml:space="preserve"> ( ( SUM(CAMCAM!AK$46) + SUM(CAMCAM!AK$47)  -  SUM(CAMCAM!AK$57) - SUM(CAMCAM!AK$58) ) * 1000000 )/ ( ( SUM(CAMCAM!AK$79) + SUM(CAMCAM!AK$80) ) * 1000 )</f>
        <v>115.97954990802738</v>
      </c>
      <c r="AL57" s="436">
        <f xml:space="preserve"> ( ( SUM(CAMCAM!AL$46) + SUM(CAMCAM!AL$47)  -  SUM(CAMCAM!AL$57) - SUM(CAMCAM!AL$58) ) * 1000000 )/ ( ( SUM(CAMCAM!AL$79) + SUM(CAMCAM!AL$80) ) * 1000 )</f>
        <v>115.95256308403</v>
      </c>
      <c r="AM57" s="436">
        <f xml:space="preserve"> ( ( SUM(CAMCAM!AM$46) + SUM(CAMCAM!AM$47)  -  SUM(CAMCAM!AM$57) - SUM(CAMCAM!AM$58) ) * 1000000 )/ ( ( SUM(CAMCAM!AM$79) + SUM(CAMCAM!AM$80) ) * 1000 )</f>
        <v>115.9285777879564</v>
      </c>
      <c r="AN57" s="436">
        <f xml:space="preserve"> ( ( SUM(CAMCAM!AN$46) + SUM(CAMCAM!AN$47)  -  SUM(CAMCAM!AN$57) - SUM(CAMCAM!AN$58) ) * 1000000 )/ ( ( SUM(CAMCAM!AN$79) + SUM(CAMCAM!AN$80) ) * 1000 )</f>
        <v>115.90175192794975</v>
      </c>
      <c r="AO57" s="436">
        <f xml:space="preserve"> ( ( SUM(CAMCAM!AO$46) + SUM(CAMCAM!AO$47)  -  SUM(CAMCAM!AO$57) - SUM(CAMCAM!AO$58) ) * 1000000 )/ ( ( SUM(CAMCAM!AO$79) + SUM(CAMCAM!AO$80) ) * 1000 )</f>
        <v>115.88600576429539</v>
      </c>
      <c r="AP57" s="436">
        <f xml:space="preserve"> ( ( SUM(CAMCAM!AP$46) + SUM(CAMCAM!AP$47)  -  SUM(CAMCAM!AP$57) - SUM(CAMCAM!AP$58) ) * 1000000 )/ ( ( SUM(CAMCAM!AP$79) + SUM(CAMCAM!AP$80) ) * 1000 )</f>
        <v>115.87278616624779</v>
      </c>
      <c r="AQ57" s="436">
        <f xml:space="preserve"> ( ( SUM(CAMCAM!AQ$46) + SUM(CAMCAM!AQ$47)  -  SUM(CAMCAM!AQ$57) - SUM(CAMCAM!AQ$58) ) * 1000000 )/ ( ( SUM(CAMCAM!AQ$79) + SUM(CAMCAM!AQ$80) ) * 1000 )</f>
        <v>115.86857069582138</v>
      </c>
      <c r="AR57" s="436">
        <f xml:space="preserve"> ( ( SUM(CAMCAM!AR$46) + SUM(CAMCAM!AR$47)  -  SUM(CAMCAM!AR$57) - SUM(CAMCAM!AR$58) ) * 1000000 )/ ( ( SUM(CAMCAM!AR$79) + SUM(CAMCAM!AR$80) ) * 1000 )</f>
        <v>115.85071658322492</v>
      </c>
      <c r="AS57" s="436">
        <f xml:space="preserve"> ( ( SUM(CAMCAM!AS$46) + SUM(CAMCAM!AS$47)  -  SUM(CAMCAM!AS$57) - SUM(CAMCAM!AS$58) ) * 1000000 )/ ( ( SUM(CAMCAM!AS$79) + SUM(CAMCAM!AS$80) ) * 1000 )</f>
        <v>115.82825891192877</v>
      </c>
      <c r="AT57" s="436">
        <f xml:space="preserve"> ( ( SUM(CAMCAM!AT$46) + SUM(CAMCAM!AT$47)  -  SUM(CAMCAM!AT$57) - SUM(CAMCAM!AT$58) ) * 1000000 )/ ( ( SUM(CAMCAM!AT$79) + SUM(CAMCAM!AT$80) ) * 1000 )</f>
        <v>115.81366936832841</v>
      </c>
      <c r="AU57" s="436">
        <f xml:space="preserve"> ( ( SUM(CAMCAM!AU$46) + SUM(CAMCAM!AU$47)  -  SUM(CAMCAM!AU$57) - SUM(CAMCAM!AU$58) ) * 1000000 )/ ( ( SUM(CAMCAM!AU$79) + SUM(CAMCAM!AU$80) ) * 1000 )</f>
        <v>115.79672865553299</v>
      </c>
      <c r="AV57" s="436">
        <f xml:space="preserve"> ( ( SUM(CAMCAM!AV$46) + SUM(CAMCAM!AV$47)  -  SUM(CAMCAM!AV$57) - SUM(CAMCAM!AV$58) ) * 1000000 )/ ( ( SUM(CAMCAM!AV$79) + SUM(CAMCAM!AV$80) ) * 1000 )</f>
        <v>115.78410230108064</v>
      </c>
      <c r="AW57" s="436">
        <f xml:space="preserve"> ( ( SUM(CAMCAM!AW$46) + SUM(CAMCAM!AW$47)  -  SUM(CAMCAM!AW$57) - SUM(CAMCAM!AW$58) ) * 1000000 )/ ( ( SUM(CAMCAM!AW$79) + SUM(CAMCAM!AW$80) ) * 1000 )</f>
        <v>115.77422744029489</v>
      </c>
      <c r="AX57" s="436">
        <f xml:space="preserve"> ( ( SUM(CAMCAM!AX$46) + SUM(CAMCAM!AX$47)  -  SUM(CAMCAM!AX$57) - SUM(CAMCAM!AX$58) ) * 1000000 )/ ( ( SUM(CAMCAM!AX$79) + SUM(CAMCAM!AX$80) ) * 1000 )</f>
        <v>115.76714891207614</v>
      </c>
      <c r="AY57" s="436">
        <f xml:space="preserve"> ( ( SUM(CAMCAM!AY$46) + SUM(CAMCAM!AY$47)  -  SUM(CAMCAM!AY$57) - SUM(CAMCAM!AY$58) ) * 1000000 )/ ( ( SUM(CAMCAM!AY$79) + SUM(CAMCAM!AY$80) ) * 1000 )</f>
        <v>115.77076468096506</v>
      </c>
      <c r="AZ57" s="436">
        <f xml:space="preserve"> ( ( SUM(CAMCAM!AZ$46) + SUM(CAMCAM!AZ$47)  -  SUM(CAMCAM!AZ$57) - SUM(CAMCAM!AZ$58) ) * 1000000 )/ ( ( SUM(CAMCAM!AZ$79) + SUM(CAMCAM!AZ$80) ) * 1000 )</f>
        <v>115.78131194498148</v>
      </c>
      <c r="BA57" s="436">
        <f xml:space="preserve"> ( ( SUM(CAMCAM!BA$46) + SUM(CAMCAM!BA$47)  -  SUM(CAMCAM!BA$57) - SUM(CAMCAM!BA$58) ) * 1000000 )/ ( ( SUM(CAMCAM!BA$79) + SUM(CAMCAM!BA$80) ) * 1000 )</f>
        <v>115.79676267475089</v>
      </c>
      <c r="BB57" s="436">
        <f xml:space="preserve"> ( ( SUM(CAMCAM!BB$46) + SUM(CAMCAM!BB$47)  -  SUM(CAMCAM!BB$57) - SUM(CAMCAM!BB$58) ) * 1000000 )/ ( ( SUM(CAMCAM!BB$79) + SUM(CAMCAM!BB$80) ) * 1000 )</f>
        <v>115.80842022532917</v>
      </c>
      <c r="BC57" s="436">
        <f xml:space="preserve"> ( ( SUM(CAMCAM!BC$46) + SUM(CAMCAM!BC$47)  -  SUM(CAMCAM!BC$57) - SUM(CAMCAM!BC$58) ) * 1000000 )/ ( ( SUM(CAMCAM!BC$79) + SUM(CAMCAM!BC$80) ) * 1000 )</f>
        <v>115.82472242827674</v>
      </c>
      <c r="BD57" s="436">
        <f xml:space="preserve"> ( ( SUM(CAMCAM!BD$46) + SUM(CAMCAM!BD$47)  -  SUM(CAMCAM!BD$57) - SUM(CAMCAM!BD$58) ) * 1000000 )/ ( ( SUM(CAMCAM!BD$79) + SUM(CAMCAM!BD$80) ) * 1000 )</f>
        <v>115.84160773927246</v>
      </c>
      <c r="BE57" s="436">
        <f xml:space="preserve"> ( ( SUM(CAMCAM!BE$46) + SUM(CAMCAM!BE$47)  -  SUM(CAMCAM!BE$57) - SUM(CAMCAM!BE$58) ) * 1000000 )/ ( ( SUM(CAMCAM!BE$79) + SUM(CAMCAM!BE$80) ) * 1000 )</f>
        <v>115.86172776871932</v>
      </c>
      <c r="BF57" s="436">
        <f xml:space="preserve"> ( ( SUM(CAMCAM!BF$46) + SUM(CAMCAM!BF$47)  -  SUM(CAMCAM!BF$57) - SUM(CAMCAM!BF$58) ) * 1000000 )/ ( ( SUM(CAMCAM!BF$79) + SUM(CAMCAM!BF$80) ) * 1000 )</f>
        <v>115.88885437242894</v>
      </c>
      <c r="BG57" s="436">
        <f xml:space="preserve"> ( ( SUM(CAMCAM!BG$46) + SUM(CAMCAM!BG$47)  -  SUM(CAMCAM!BG$57) - SUM(CAMCAM!BG$58) ) * 1000000 )/ ( ( SUM(CAMCAM!BG$79) + SUM(CAMCAM!BG$80) ) * 1000 )</f>
        <v>115.91611748886258</v>
      </c>
      <c r="BH57" s="436">
        <f xml:space="preserve"> ( ( SUM(CAMCAM!BH$46) + SUM(CAMCAM!BH$47)  -  SUM(CAMCAM!BH$57) - SUM(CAMCAM!BH$58) ) * 1000000 )/ ( ( SUM(CAMCAM!BH$79) + SUM(CAMCAM!BH$80) ) * 1000 )</f>
        <v>115.94639357918594</v>
      </c>
      <c r="BI57" s="436">
        <f xml:space="preserve"> ( ( SUM(CAMCAM!BI$46) + SUM(CAMCAM!BI$47)  -  SUM(CAMCAM!BI$57) - SUM(CAMCAM!BI$58) ) * 1000000 )/ ( ( SUM(CAMCAM!BI$79) + SUM(CAMCAM!BI$80) ) * 1000 )</f>
        <v>115.97389769221246</v>
      </c>
      <c r="BJ57" s="436">
        <f xml:space="preserve"> ( ( SUM(CAMCAM!BJ$46) + SUM(CAMCAM!BJ$47)  -  SUM(CAMCAM!BJ$57) - SUM(CAMCAM!BJ$58) ) * 1000000 )/ ( ( SUM(CAMCAM!BJ$79) + SUM(CAMCAM!BJ$80) ) * 1000 )</f>
        <v>116.00136687751534</v>
      </c>
      <c r="BK57" s="436">
        <f xml:space="preserve"> ( ( SUM(CAMCAM!BK$46) + SUM(CAMCAM!BK$47)  -  SUM(CAMCAM!BK$57) - SUM(CAMCAM!BK$58) ) * 1000000 )/ ( ( SUM(CAMCAM!BK$79) + SUM(CAMCAM!BK$80) ) * 1000 )</f>
        <v>116.03043840013578</v>
      </c>
      <c r="BL57" s="436">
        <f xml:space="preserve"> ( ( SUM(CAMCAM!BL$46) + SUM(CAMCAM!BL$47)  -  SUM(CAMCAM!BL$57) - SUM(CAMCAM!BL$58) ) * 1000000 )/ ( ( SUM(CAMCAM!BL$79) + SUM(CAMCAM!BL$80) ) * 1000 )</f>
        <v>116.05928591113346</v>
      </c>
      <c r="BM57" s="436">
        <f xml:space="preserve"> ( ( SUM(CAMCAM!BM$46) + SUM(CAMCAM!BM$47)  -  SUM(CAMCAM!BM$57) - SUM(CAMCAM!BM$58) ) * 1000000 )/ ( ( SUM(CAMCAM!BM$79) + SUM(CAMCAM!BM$80) ) * 1000 )</f>
        <v>116.09024220331095</v>
      </c>
      <c r="BN57" s="436">
        <f xml:space="preserve"> ( ( SUM(CAMCAM!BN$46) + SUM(CAMCAM!BN$47)  -  SUM(CAMCAM!BN$57) - SUM(CAMCAM!BN$58) ) * 1000000 )/ ( ( SUM(CAMCAM!BN$79) + SUM(CAMCAM!BN$80) ) * 1000 )</f>
        <v>116.12275197269972</v>
      </c>
      <c r="BO57" s="436">
        <f xml:space="preserve"> ( ( SUM(CAMCAM!BO$46) + SUM(CAMCAM!BO$47)  -  SUM(CAMCAM!BO$57) - SUM(CAMCAM!BO$58) ) * 1000000 )/ ( ( SUM(CAMCAM!BO$79) + SUM(CAMCAM!BO$80) ) * 1000 )</f>
        <v>116.15977500644185</v>
      </c>
      <c r="BP57" s="436">
        <f xml:space="preserve"> ( ( SUM(CAMCAM!BP$46) + SUM(CAMCAM!BP$47)  -  SUM(CAMCAM!BP$57) - SUM(CAMCAM!BP$58) ) * 1000000 )/ ( ( SUM(CAMCAM!BP$79) + SUM(CAMCAM!BP$80) ) * 1000 )</f>
        <v>116.20113582536341</v>
      </c>
      <c r="BQ57" s="436">
        <f xml:space="preserve"> ( ( SUM(CAMCAM!BQ$46) + SUM(CAMCAM!BQ$47)  -  SUM(CAMCAM!BQ$57) - SUM(CAMCAM!BQ$58) ) * 1000000 )/ ( ( SUM(CAMCAM!BQ$79) + SUM(CAMCAM!BQ$80) ) * 1000 )</f>
        <v>116.24658916588209</v>
      </c>
      <c r="BR57" s="436">
        <f xml:space="preserve"> ( ( SUM(CAMCAM!BR$46) + SUM(CAMCAM!BR$47)  -  SUM(CAMCAM!BR$57) - SUM(CAMCAM!BR$58) ) * 1000000 )/ ( ( SUM(CAMCAM!BR$79) + SUM(CAMCAM!BR$80) ) * 1000 )</f>
        <v>116.29052048646234</v>
      </c>
      <c r="BS57" s="436">
        <f xml:space="preserve"> ( ( SUM(CAMCAM!BS$46) + SUM(CAMCAM!BS$47)  -  SUM(CAMCAM!BS$57) - SUM(CAMCAM!BS$58) ) * 1000000 )/ ( ( SUM(CAMCAM!BS$79) + SUM(CAMCAM!BS$80) ) * 1000 )</f>
        <v>116.33715349591803</v>
      </c>
      <c r="BT57" s="436">
        <f xml:space="preserve"> ( ( SUM(CAMCAM!BT$46) + SUM(CAMCAM!BT$47)  -  SUM(CAMCAM!BT$57) - SUM(CAMCAM!BT$58) ) * 1000000 )/ ( ( SUM(CAMCAM!BT$79) + SUM(CAMCAM!BT$80) ) * 1000 )</f>
        <v>116.38538083365984</v>
      </c>
      <c r="BU57" s="436">
        <f xml:space="preserve"> ( ( SUM(CAMCAM!BU$46) + SUM(CAMCAM!BU$47)  -  SUM(CAMCAM!BU$57) - SUM(CAMCAM!BU$58) ) * 1000000 )/ ( ( SUM(CAMCAM!BU$79) + SUM(CAMCAM!BU$80) ) * 1000 )</f>
        <v>116.43879790950018</v>
      </c>
      <c r="BV57" s="436">
        <f xml:space="preserve"> ( ( SUM(CAMCAM!BV$46) + SUM(CAMCAM!BV$47)  -  SUM(CAMCAM!BV$57) - SUM(CAMCAM!BV$58) ) * 1000000 )/ ( ( SUM(CAMCAM!BV$79) + SUM(CAMCAM!BV$80) ) * 1000 )</f>
        <v>116.48994754808932</v>
      </c>
      <c r="BW57" s="436">
        <f xml:space="preserve"> ( ( SUM(CAMCAM!BW$46) + SUM(CAMCAM!BW$47)  -  SUM(CAMCAM!BW$57) - SUM(CAMCAM!BW$58) ) * 1000000 )/ ( ( SUM(CAMCAM!BW$79) + SUM(CAMCAM!BW$80) ) * 1000 )</f>
        <v>116.54520373145958</v>
      </c>
      <c r="BX57" s="436">
        <f xml:space="preserve"> ( ( SUM(CAMCAM!BX$46) + SUM(CAMCAM!BX$47)  -  SUM(CAMCAM!BX$57) - SUM(CAMCAM!BX$58) ) * 1000000 )/ ( ( SUM(CAMCAM!BX$79) + SUM(CAMCAM!BX$80) ) * 1000 )</f>
        <v>116.60348189822265</v>
      </c>
      <c r="BY57" s="436">
        <f xml:space="preserve"> ( ( SUM(CAMCAM!BY$46) + SUM(CAMCAM!BY$47)  -  SUM(CAMCAM!BY$57) - SUM(CAMCAM!BY$58) ) * 1000000 )/ ( ( SUM(CAMCAM!BY$79) + SUM(CAMCAM!BY$80) ) * 1000 )</f>
        <v>116.66688243971704</v>
      </c>
      <c r="BZ57" s="436">
        <f xml:space="preserve"> ( ( SUM(CAMCAM!BZ$46) + SUM(CAMCAM!BZ$47)  -  SUM(CAMCAM!BZ$57) - SUM(CAMCAM!BZ$58) ) * 1000000 )/ ( ( SUM(CAMCAM!BZ$79) + SUM(CAMCAM!BZ$80) ) * 1000 )</f>
        <v>116.73395000069145</v>
      </c>
      <c r="CA57" s="436">
        <f xml:space="preserve"> ( ( SUM(CAMCAM!CA$46) + SUM(CAMCAM!CA$47)  -  SUM(CAMCAM!CA$57) - SUM(CAMCAM!CA$58) ) * 1000000 )/ ( ( SUM(CAMCAM!CA$79) + SUM(CAMCAM!CA$80) ) * 1000 )</f>
        <v>116.80402183658916</v>
      </c>
      <c r="CB57" s="436">
        <f xml:space="preserve"> ( ( SUM(CAMCAM!CB$46) + SUM(CAMCAM!CB$47)  -  SUM(CAMCAM!CB$57) - SUM(CAMCAM!CB$58) ) * 1000000 )/ ( ( SUM(CAMCAM!CB$79) + SUM(CAMCAM!CB$80) ) * 1000 )</f>
        <v>116.87242247617651</v>
      </c>
      <c r="CC57" s="436">
        <f xml:space="preserve"> ( ( SUM(CAMCAM!CC$46) + SUM(CAMCAM!CC$47)  -  SUM(CAMCAM!CC$57) - SUM(CAMCAM!CC$58) ) * 1000000 )/ ( ( SUM(CAMCAM!CC$79) + SUM(CAMCAM!CC$80) ) * 1000 )</f>
        <v>116.94243281323872</v>
      </c>
      <c r="CD57" s="436">
        <f xml:space="preserve"> ( ( SUM(CAMCAM!CD$46) + SUM(CAMCAM!CD$47)  -  SUM(CAMCAM!CD$57) - SUM(CAMCAM!CD$58) ) * 1000000 )/ ( ( SUM(CAMCAM!CD$79) + SUM(CAMCAM!CD$80) ) * 1000 )</f>
        <v>117.01207372316152</v>
      </c>
      <c r="CE57" s="436">
        <f xml:space="preserve"> ( ( SUM(CAMCAM!CE$46) + SUM(CAMCAM!CE$47)  -  SUM(CAMCAM!CE$57) - SUM(CAMCAM!CE$58) ) * 1000000 )/ ( ( SUM(CAMCAM!CE$79) + SUM(CAMCAM!CE$80) ) * 1000 )</f>
        <v>117.08384964172318</v>
      </c>
      <c r="CF57" s="436">
        <f xml:space="preserve"> ( ( SUM(CAMCAM!CF$46) + SUM(CAMCAM!CF$47)  -  SUM(CAMCAM!CF$57) - SUM(CAMCAM!CF$58) ) * 1000000 )/ ( ( SUM(CAMCAM!CF$79) + SUM(CAMCAM!CF$80) ) * 1000 )</f>
        <v>117.15472435260273</v>
      </c>
      <c r="CG57" s="436">
        <f xml:space="preserve"> ( ( SUM(CAMCAM!CG$46) + SUM(CAMCAM!CG$47)  -  SUM(CAMCAM!CG$57) - SUM(CAMCAM!CG$58) ) * 1000000 )/ ( ( SUM(CAMCAM!CG$79) + SUM(CAMCAM!CG$80) ) * 1000 )</f>
        <v>117.22394472866387</v>
      </c>
      <c r="CH57" s="436">
        <f xml:space="preserve"> ( ( SUM(CAMCAM!CH$46) + SUM(CAMCAM!CH$47)  -  SUM(CAMCAM!CH$57) - SUM(CAMCAM!CH$58) ) * 1000000 )/ ( ( SUM(CAMCAM!CH$79) + SUM(CAMCAM!CH$80) ) * 1000 )</f>
        <v>117.28992021212717</v>
      </c>
      <c r="CI57" s="436">
        <f xml:space="preserve"> ( ( SUM(CAMCAM!CI$46) + SUM(CAMCAM!CI$47)  -  SUM(CAMCAM!CI$57) - SUM(CAMCAM!CI$58) ) * 1000000 )/ ( ( SUM(CAMCAM!CI$79) + SUM(CAMCAM!CI$80) ) * 1000 )</f>
        <v>125.89947590793274</v>
      </c>
      <c r="CJ57" s="436"/>
    </row>
    <row r="58" spans="2:92" ht="28" x14ac:dyDescent="0.35">
      <c r="B58" s="1219" t="s">
        <v>725</v>
      </c>
      <c r="C58" s="1220" t="s">
        <v>726</v>
      </c>
      <c r="D58" s="524" t="s">
        <v>727</v>
      </c>
      <c r="E58" s="1220" t="s">
        <v>359</v>
      </c>
      <c r="F58" s="525">
        <v>1</v>
      </c>
      <c r="G58" s="437">
        <f>( SUM(CAMCAM!G$66) ) / ( SUM(CAMCAM!G$66) + SUM(CAMCAM!G$73) + SUM(CAMCAM!G$74) + SUM(CAMCAM!G$75) )</f>
        <v>0.72626103610629478</v>
      </c>
      <c r="H58" s="437">
        <f>( SUM(CAMCAM!H$66) ) / ( SUM(CAMCAM!H$66) + SUM(CAMCAM!H$73) + SUM(CAMCAM!H$74) + SUM(CAMCAM!H$75) )</f>
        <v>0.72993445828742831</v>
      </c>
      <c r="I58" s="437">
        <f>( SUM(CAMCAM!I$66) ) / ( SUM(CAMCAM!I$66) + SUM(CAMCAM!I$73) + SUM(CAMCAM!I$74) + SUM(CAMCAM!I$75) )</f>
        <v>0.73291094776671395</v>
      </c>
      <c r="J58" s="437">
        <f>( SUM(CAMCAM!J$66) ) / ( SUM(CAMCAM!J$66) + SUM(CAMCAM!J$73) + SUM(CAMCAM!J$74) + SUM(CAMCAM!J$75) )</f>
        <v>0.74402614907834641</v>
      </c>
      <c r="K58" s="437">
        <f>( SUM(CAMCAM!K$66) ) / ( SUM(CAMCAM!K$66) + SUM(CAMCAM!K$73) + SUM(CAMCAM!K$74) + SUM(CAMCAM!K$75) )</f>
        <v>0.75401469494896367</v>
      </c>
      <c r="L58" s="437">
        <f>( SUM(CAMCAM!L$66) ) / ( SUM(CAMCAM!L$66) + SUM(CAMCAM!L$73) + SUM(CAMCAM!L$74) + SUM(CAMCAM!L$75) )</f>
        <v>0.76358734248049143</v>
      </c>
      <c r="M58" s="437">
        <f>( SUM(CAMCAM!M$66) ) / ( SUM(CAMCAM!M$66) + SUM(CAMCAM!M$73) + SUM(CAMCAM!M$74) + SUM(CAMCAM!M$75) )</f>
        <v>0.77301751753949344</v>
      </c>
      <c r="N58" s="437">
        <f>( SUM(CAMCAM!N$66) ) / ( SUM(CAMCAM!N$66) + SUM(CAMCAM!N$73) + SUM(CAMCAM!N$74) + SUM(CAMCAM!N$75) )</f>
        <v>0.78122379691707733</v>
      </c>
      <c r="O58" s="437">
        <f>( SUM(CAMCAM!O$66) ) / ( SUM(CAMCAM!O$66) + SUM(CAMCAM!O$73) + SUM(CAMCAM!O$74) + SUM(CAMCAM!O$75) )</f>
        <v>0.78971264879923553</v>
      </c>
      <c r="P58" s="437">
        <f>( SUM(CAMCAM!P$66) ) / ( SUM(CAMCAM!P$66) + SUM(CAMCAM!P$73) + SUM(CAMCAM!P$74) + SUM(CAMCAM!P$75) )</f>
        <v>0.79770970839676758</v>
      </c>
      <c r="Q58" s="437">
        <f>( SUM(CAMCAM!Q$66) ) / ( SUM(CAMCAM!Q$66) + SUM(CAMCAM!Q$73) + SUM(CAMCAM!Q$74) + SUM(CAMCAM!Q$75) )</f>
        <v>0.80504288194294116</v>
      </c>
      <c r="R58" s="437">
        <f>( SUM(CAMCAM!R$66) ) / ( SUM(CAMCAM!R$66) + SUM(CAMCAM!R$73) + SUM(CAMCAM!R$74) + SUM(CAMCAM!R$75) )</f>
        <v>0.81202264557656323</v>
      </c>
      <c r="S58" s="437">
        <f>( SUM(CAMCAM!S$66) ) / ( SUM(CAMCAM!S$66) + SUM(CAMCAM!S$73) + SUM(CAMCAM!S$74) + SUM(CAMCAM!S$75) )</f>
        <v>0.81839084396397554</v>
      </c>
      <c r="T58" s="437">
        <f>( SUM(CAMCAM!T$66) ) / ( SUM(CAMCAM!T$66) + SUM(CAMCAM!T$73) + SUM(CAMCAM!T$74) + SUM(CAMCAM!T$75) )</f>
        <v>0.82422314314193157</v>
      </c>
      <c r="U58" s="437">
        <f>( SUM(CAMCAM!U$66) ) / ( SUM(CAMCAM!U$66) + SUM(CAMCAM!U$73) + SUM(CAMCAM!U$74) + SUM(CAMCAM!U$75) )</f>
        <v>0.82987681285260873</v>
      </c>
      <c r="V58" s="437">
        <f>( SUM(CAMCAM!V$66) ) / ( SUM(CAMCAM!V$66) + SUM(CAMCAM!V$73) + SUM(CAMCAM!V$74) + SUM(CAMCAM!V$75) )</f>
        <v>0.83535778517984915</v>
      </c>
      <c r="W58" s="437">
        <f>( SUM(CAMCAM!W$66) ) / ( SUM(CAMCAM!W$66) + SUM(CAMCAM!W$73) + SUM(CAMCAM!W$74) + SUM(CAMCAM!W$75) )</f>
        <v>0.84053454408865325</v>
      </c>
      <c r="X58" s="437">
        <f>( SUM(CAMCAM!X$66) ) / ( SUM(CAMCAM!X$66) + SUM(CAMCAM!X$73) + SUM(CAMCAM!X$74) + SUM(CAMCAM!X$75) )</f>
        <v>0.84549666985079008</v>
      </c>
      <c r="Y58" s="437">
        <f>( SUM(CAMCAM!Y$66) ) / ( SUM(CAMCAM!Y$66) + SUM(CAMCAM!Y$73) + SUM(CAMCAM!Y$74) + SUM(CAMCAM!Y$75) )</f>
        <v>0.85018793289632444</v>
      </c>
      <c r="Z58" s="437">
        <f>( SUM(CAMCAM!Z$66) ) / ( SUM(CAMCAM!Z$66) + SUM(CAMCAM!Z$73) + SUM(CAMCAM!Z$74) + SUM(CAMCAM!Z$75) )</f>
        <v>0.8547074625383162</v>
      </c>
      <c r="AA58" s="437">
        <f>( SUM(CAMCAM!AA$66) ) / ( SUM(CAMCAM!AA$66) + SUM(CAMCAM!AA$73) + SUM(CAMCAM!AA$74) + SUM(CAMCAM!AA$75) )</f>
        <v>0.85906467231211359</v>
      </c>
      <c r="AB58" s="437">
        <f>( SUM(CAMCAM!AB$66) ) / ( SUM(CAMCAM!AB$66) + SUM(CAMCAM!AB$73) + SUM(CAMCAM!AB$74) + SUM(CAMCAM!AB$75) )</f>
        <v>0.86328063816498546</v>
      </c>
      <c r="AC58" s="437">
        <f>( SUM(CAMCAM!AC$66) ) / ( SUM(CAMCAM!AC$66) + SUM(CAMCAM!AC$73) + SUM(CAMCAM!AC$74) + SUM(CAMCAM!AC$75) )</f>
        <v>0.8673093511453438</v>
      </c>
      <c r="AD58" s="437">
        <f>( SUM(CAMCAM!AD$66) ) / ( SUM(CAMCAM!AD$66) + SUM(CAMCAM!AD$73) + SUM(CAMCAM!AD$74) + SUM(CAMCAM!AD$75) )</f>
        <v>0.87116218234951726</v>
      </c>
      <c r="AE58" s="437">
        <f>( SUM(CAMCAM!AE$66) ) / ( SUM(CAMCAM!AE$66) + SUM(CAMCAM!AE$73) + SUM(CAMCAM!AE$74) + SUM(CAMCAM!AE$75) )</f>
        <v>0.87485102551138749</v>
      </c>
      <c r="AF58" s="437">
        <f>( SUM(CAMCAM!AF$66) ) / ( SUM(CAMCAM!AF$66) + SUM(CAMCAM!AF$73) + SUM(CAMCAM!AF$74) + SUM(CAMCAM!AF$75) )</f>
        <v>0.87838213375273799</v>
      </c>
      <c r="AG58" s="437">
        <f>( SUM(CAMCAM!AG$66) ) / ( SUM(CAMCAM!AG$66) + SUM(CAMCAM!AG$73) + SUM(CAMCAM!AG$74) + SUM(CAMCAM!AG$75) )</f>
        <v>0.88176667211222504</v>
      </c>
      <c r="AH58" s="437">
        <f>( SUM(CAMCAM!AH$66) ) / ( SUM(CAMCAM!AH$66) + SUM(CAMCAM!AH$73) + SUM(CAMCAM!AH$74) + SUM(CAMCAM!AH$75) )</f>
        <v>0.88500927221275938</v>
      </c>
      <c r="AI58" s="437">
        <f>( SUM(CAMCAM!AI$66) ) / ( SUM(CAMCAM!AI$66) + SUM(CAMCAM!AI$73) + SUM(CAMCAM!AI$74) + SUM(CAMCAM!AI$75) )</f>
        <v>0.8881201329226921</v>
      </c>
      <c r="AJ58" s="437">
        <f>( SUM(CAMCAM!AJ$66) ) / ( SUM(CAMCAM!AJ$66) + SUM(CAMCAM!AJ$73) + SUM(CAMCAM!AJ$74) + SUM(CAMCAM!AJ$75) )</f>
        <v>0.89110436891230116</v>
      </c>
      <c r="AK58" s="437">
        <f>( SUM(CAMCAM!AK$66) ) / ( SUM(CAMCAM!AK$66) + SUM(CAMCAM!AK$73) + SUM(CAMCAM!AK$74) + SUM(CAMCAM!AK$75) )</f>
        <v>0.89396799772380398</v>
      </c>
      <c r="AL58" s="437">
        <f>( SUM(CAMCAM!AL$66) ) / ( SUM(CAMCAM!AL$66) + SUM(CAMCAM!AL$73) + SUM(CAMCAM!AL$74) + SUM(CAMCAM!AL$75) )</f>
        <v>0.89643107725881532</v>
      </c>
      <c r="AM58" s="437">
        <f>( SUM(CAMCAM!AM$66) ) / ( SUM(CAMCAM!AM$66) + SUM(CAMCAM!AM$73) + SUM(CAMCAM!AM$74) + SUM(CAMCAM!AM$75) )</f>
        <v>0.8988103408781295</v>
      </c>
      <c r="AN58" s="437">
        <f>( SUM(CAMCAM!AN$66) ) / ( SUM(CAMCAM!AN$66) + SUM(CAMCAM!AN$73) + SUM(CAMCAM!AN$74) + SUM(CAMCAM!AN$75) )</f>
        <v>0.90112094879691673</v>
      </c>
      <c r="AO58" s="437">
        <f>( SUM(CAMCAM!AO$66) ) / ( SUM(CAMCAM!AO$66) + SUM(CAMCAM!AO$73) + SUM(CAMCAM!AO$74) + SUM(CAMCAM!AO$75) )</f>
        <v>0.90336193000157017</v>
      </c>
      <c r="AP58" s="437">
        <f>( SUM(CAMCAM!AP$66) ) / ( SUM(CAMCAM!AP$66) + SUM(CAMCAM!AP$73) + SUM(CAMCAM!AP$74) + SUM(CAMCAM!AP$75) )</f>
        <v>0.90554650404108172</v>
      </c>
      <c r="AQ58" s="437">
        <f>( SUM(CAMCAM!AQ$66) ) / ( SUM(CAMCAM!AQ$66) + SUM(CAMCAM!AQ$73) + SUM(CAMCAM!AQ$74) + SUM(CAMCAM!AQ$75) )</f>
        <v>0.90767993613665043</v>
      </c>
      <c r="AR58" s="437">
        <f>( SUM(CAMCAM!AR$66) ) / ( SUM(CAMCAM!AR$66) + SUM(CAMCAM!AR$73) + SUM(CAMCAM!AR$74) + SUM(CAMCAM!AR$75) )</f>
        <v>0.90974952260409225</v>
      </c>
      <c r="AS58" s="437">
        <f>( SUM(CAMCAM!AS$66) ) / ( SUM(CAMCAM!AS$66) + SUM(CAMCAM!AS$73) + SUM(CAMCAM!AS$74) + SUM(CAMCAM!AS$75) )</f>
        <v>0.91174062691561142</v>
      </c>
      <c r="AT58" s="437">
        <f>( SUM(CAMCAM!AT$66) ) / ( SUM(CAMCAM!AT$66) + SUM(CAMCAM!AT$73) + SUM(CAMCAM!AT$74) + SUM(CAMCAM!AT$75) )</f>
        <v>0.91366408517454334</v>
      </c>
      <c r="AU58" s="437">
        <f>( SUM(CAMCAM!AU$66) ) / ( SUM(CAMCAM!AU$66) + SUM(CAMCAM!AU$73) + SUM(CAMCAM!AU$74) + SUM(CAMCAM!AU$75) )</f>
        <v>0.91553650516818819</v>
      </c>
      <c r="AV58" s="437">
        <f>( SUM(CAMCAM!AV$66) ) / ( SUM(CAMCAM!AV$66) + SUM(CAMCAM!AV$73) + SUM(CAMCAM!AV$74) + SUM(CAMCAM!AV$75) )</f>
        <v>0.91735365266137159</v>
      </c>
      <c r="AW58" s="437">
        <f>( SUM(CAMCAM!AW$66) ) / ( SUM(CAMCAM!AW$66) + SUM(CAMCAM!AW$73) + SUM(CAMCAM!AW$74) + SUM(CAMCAM!AW$75) )</f>
        <v>0.91911641113422848</v>
      </c>
      <c r="AX58" s="437">
        <f>( SUM(CAMCAM!AX$66) ) / ( SUM(CAMCAM!AX$66) + SUM(CAMCAM!AX$73) + SUM(CAMCAM!AX$74) + SUM(CAMCAM!AX$75) )</f>
        <v>0.92083393896199162</v>
      </c>
      <c r="AY58" s="437">
        <f>( SUM(CAMCAM!AY$66) ) / ( SUM(CAMCAM!AY$66) + SUM(CAMCAM!AY$73) + SUM(CAMCAM!AY$74) + SUM(CAMCAM!AY$75) )</f>
        <v>0.92251063362409247</v>
      </c>
      <c r="AZ58" s="437">
        <f>( SUM(CAMCAM!AZ$66) ) / ( SUM(CAMCAM!AZ$66) + SUM(CAMCAM!AZ$73) + SUM(CAMCAM!AZ$74) + SUM(CAMCAM!AZ$75) )</f>
        <v>0.92414939007080199</v>
      </c>
      <c r="BA58" s="437">
        <f>( SUM(CAMCAM!BA$66) ) / ( SUM(CAMCAM!BA$66) + SUM(CAMCAM!BA$73) + SUM(CAMCAM!BA$74) + SUM(CAMCAM!BA$75) )</f>
        <v>0.92575059319588615</v>
      </c>
      <c r="BB58" s="437">
        <f>( SUM(CAMCAM!BB$66) ) / ( SUM(CAMCAM!BB$66) + SUM(CAMCAM!BB$73) + SUM(CAMCAM!BB$74) + SUM(CAMCAM!BB$75) )</f>
        <v>0.92730899586590343</v>
      </c>
      <c r="BC58" s="437">
        <f>( SUM(CAMCAM!BC$66) ) / ( SUM(CAMCAM!BC$66) + SUM(CAMCAM!BC$73) + SUM(CAMCAM!BC$74) + SUM(CAMCAM!BC$75) )</f>
        <v>0.92882319589347084</v>
      </c>
      <c r="BD58" s="437">
        <f>( SUM(CAMCAM!BD$66) ) / ( SUM(CAMCAM!BD$66) + SUM(CAMCAM!BD$73) + SUM(CAMCAM!BD$74) + SUM(CAMCAM!BD$75) )</f>
        <v>0.93030027686821093</v>
      </c>
      <c r="BE58" s="437">
        <f>( SUM(CAMCAM!BE$66) ) / ( SUM(CAMCAM!BE$66) + SUM(CAMCAM!BE$73) + SUM(CAMCAM!BE$74) + SUM(CAMCAM!BE$75) )</f>
        <v>0.93174042733091511</v>
      </c>
      <c r="BF58" s="437">
        <f>( SUM(CAMCAM!BF$66) ) / ( SUM(CAMCAM!BF$66) + SUM(CAMCAM!BF$73) + SUM(CAMCAM!BF$74) + SUM(CAMCAM!BF$75) )</f>
        <v>0.93314525726644826</v>
      </c>
      <c r="BG58" s="437">
        <f>( SUM(CAMCAM!BG$66) ) / ( SUM(CAMCAM!BG$66) + SUM(CAMCAM!BG$73) + SUM(CAMCAM!BG$74) + SUM(CAMCAM!BG$75) )</f>
        <v>0.93451663106859173</v>
      </c>
      <c r="BH58" s="437">
        <f>( SUM(CAMCAM!BH$66) ) / ( SUM(CAMCAM!BH$66) + SUM(CAMCAM!BH$73) + SUM(CAMCAM!BH$74) + SUM(CAMCAM!BH$75) )</f>
        <v>0.93585597560178113</v>
      </c>
      <c r="BI58" s="437">
        <f>( SUM(CAMCAM!BI$66) ) / ( SUM(CAMCAM!BI$66) + SUM(CAMCAM!BI$73) + SUM(CAMCAM!BI$74) + SUM(CAMCAM!BI$75) )</f>
        <v>0.93716238738081648</v>
      </c>
      <c r="BJ58" s="437">
        <f>( SUM(CAMCAM!BJ$66) ) / ( SUM(CAMCAM!BJ$66) + SUM(CAMCAM!BJ$73) + SUM(CAMCAM!BJ$74) + SUM(CAMCAM!BJ$75) )</f>
        <v>0.93843383025941141</v>
      </c>
      <c r="BK58" s="437">
        <f>( SUM(CAMCAM!BK$66) ) / ( SUM(CAMCAM!BK$66) + SUM(CAMCAM!BK$73) + SUM(CAMCAM!BK$74) + SUM(CAMCAM!BK$75) )</f>
        <v>0.93967466688967149</v>
      </c>
      <c r="BL58" s="437">
        <f>( SUM(CAMCAM!BL$66) ) / ( SUM(CAMCAM!BL$66) + SUM(CAMCAM!BL$73) + SUM(CAMCAM!BL$74) + SUM(CAMCAM!BL$75) )</f>
        <v>0.94088169591605986</v>
      </c>
      <c r="BM58" s="437">
        <f>( SUM(CAMCAM!BM$66) ) / ( SUM(CAMCAM!BM$66) + SUM(CAMCAM!BM$73) + SUM(CAMCAM!BM$74) + SUM(CAMCAM!BM$75) )</f>
        <v>0.94205824017305806</v>
      </c>
      <c r="BN58" s="437">
        <f>( SUM(CAMCAM!BN$66) ) / ( SUM(CAMCAM!BN$66) + SUM(CAMCAM!BN$73) + SUM(CAMCAM!BN$74) + SUM(CAMCAM!BN$75) )</f>
        <v>0.94320941308858997</v>
      </c>
      <c r="BO58" s="437">
        <f>( SUM(CAMCAM!BO$66) ) / ( SUM(CAMCAM!BO$66) + SUM(CAMCAM!BO$73) + SUM(CAMCAM!BO$74) + SUM(CAMCAM!BO$75) )</f>
        <v>0.94433400030812142</v>
      </c>
      <c r="BP58" s="437">
        <f>( SUM(CAMCAM!BP$66) ) / ( SUM(CAMCAM!BP$66) + SUM(CAMCAM!BP$73) + SUM(CAMCAM!BP$74) + SUM(CAMCAM!BP$75) )</f>
        <v>0.94543756277385527</v>
      </c>
      <c r="BQ58" s="437">
        <f>( SUM(CAMCAM!BQ$66) ) / ( SUM(CAMCAM!BQ$66) + SUM(CAMCAM!BQ$73) + SUM(CAMCAM!BQ$74) + SUM(CAMCAM!BQ$75) )</f>
        <v>0.94651791610214553</v>
      </c>
      <c r="BR58" s="437">
        <f>( SUM(CAMCAM!BR$66) ) / ( SUM(CAMCAM!BR$66) + SUM(CAMCAM!BR$73) + SUM(CAMCAM!BR$74) + SUM(CAMCAM!BR$75) )</f>
        <v>0.94757520687413888</v>
      </c>
      <c r="BS58" s="437">
        <f>( SUM(CAMCAM!BS$66) ) / ( SUM(CAMCAM!BS$66) + SUM(CAMCAM!BS$73) + SUM(CAMCAM!BS$74) + SUM(CAMCAM!BS$75) )</f>
        <v>0.94860572225412443</v>
      </c>
      <c r="BT58" s="437">
        <f>( SUM(CAMCAM!BT$66) ) / ( SUM(CAMCAM!BT$66) + SUM(CAMCAM!BT$73) + SUM(CAMCAM!BT$74) + SUM(CAMCAM!BT$75) )</f>
        <v>0.94961192536758543</v>
      </c>
      <c r="BU58" s="437">
        <f>( SUM(CAMCAM!BU$66) ) / ( SUM(CAMCAM!BU$66) + SUM(CAMCAM!BU$73) + SUM(CAMCAM!BU$74) + SUM(CAMCAM!BU$75) )</f>
        <v>0.95059511806232866</v>
      </c>
      <c r="BV58" s="437">
        <f>( SUM(CAMCAM!BV$66) ) / ( SUM(CAMCAM!BV$66) + SUM(CAMCAM!BV$73) + SUM(CAMCAM!BV$74) + SUM(CAMCAM!BV$75) )</f>
        <v>0.95155604215128342</v>
      </c>
      <c r="BW58" s="437">
        <f>( SUM(CAMCAM!BW$66) ) / ( SUM(CAMCAM!BW$66) + SUM(CAMCAM!BW$73) + SUM(CAMCAM!BW$74) + SUM(CAMCAM!BW$75) )</f>
        <v>0.95249209591975237</v>
      </c>
      <c r="BX58" s="437">
        <f>( SUM(CAMCAM!BX$66) ) / ( SUM(CAMCAM!BX$66) + SUM(CAMCAM!BX$73) + SUM(CAMCAM!BX$74) + SUM(CAMCAM!BX$75) )</f>
        <v>0.9534060320550054</v>
      </c>
      <c r="BY58" s="437">
        <f>( SUM(CAMCAM!BY$66) ) / ( SUM(CAMCAM!BY$66) + SUM(CAMCAM!BY$73) + SUM(CAMCAM!BY$74) + SUM(CAMCAM!BY$75) )</f>
        <v>0.95429881928338789</v>
      </c>
      <c r="BZ58" s="437">
        <f>( SUM(CAMCAM!BZ$66) ) / ( SUM(CAMCAM!BZ$66) + SUM(CAMCAM!BZ$73) + SUM(CAMCAM!BZ$74) + SUM(CAMCAM!BZ$75) )</f>
        <v>0.95517292746092264</v>
      </c>
      <c r="CA58" s="437">
        <f>( SUM(CAMCAM!CA$66) ) / ( SUM(CAMCAM!CA$66) + SUM(CAMCAM!CA$73) + SUM(CAMCAM!CA$74) + SUM(CAMCAM!CA$75) )</f>
        <v>0.95602522526884881</v>
      </c>
      <c r="CB58" s="437">
        <f>( SUM(CAMCAM!CB$66) ) / ( SUM(CAMCAM!CB$66) + SUM(CAMCAM!CB$73) + SUM(CAMCAM!CB$74) + SUM(CAMCAM!CB$75) )</f>
        <v>0.95685627264049034</v>
      </c>
      <c r="CC58" s="437">
        <f>( SUM(CAMCAM!CC$66) ) / ( SUM(CAMCAM!CC$66) + SUM(CAMCAM!CC$73) + SUM(CAMCAM!CC$74) + SUM(CAMCAM!CC$75) )</f>
        <v>0.95766288120115162</v>
      </c>
      <c r="CD58" s="437">
        <f>( SUM(CAMCAM!CD$66) ) / ( SUM(CAMCAM!CD$66) + SUM(CAMCAM!CD$73) + SUM(CAMCAM!CD$74) + SUM(CAMCAM!CD$75) )</f>
        <v>0.95844947894583554</v>
      </c>
      <c r="CE58" s="437">
        <f>( SUM(CAMCAM!CE$66) ) / ( SUM(CAMCAM!CE$66) + SUM(CAMCAM!CE$73) + SUM(CAMCAM!CE$74) + SUM(CAMCAM!CE$75) )</f>
        <v>0.95921538743591461</v>
      </c>
      <c r="CF58" s="437">
        <f>( SUM(CAMCAM!CF$66) ) / ( SUM(CAMCAM!CF$66) + SUM(CAMCAM!CF$73) + SUM(CAMCAM!CF$74) + SUM(CAMCAM!CF$75) )</f>
        <v>0.95996040552854189</v>
      </c>
      <c r="CG58" s="437">
        <f>( SUM(CAMCAM!CG$66) ) / ( SUM(CAMCAM!CG$66) + SUM(CAMCAM!CG$73) + SUM(CAMCAM!CG$74) + SUM(CAMCAM!CG$75) )</f>
        <v>0.96068228447885284</v>
      </c>
      <c r="CH58" s="437">
        <f>( SUM(CAMCAM!CH$66) ) / ( SUM(CAMCAM!CH$66) + SUM(CAMCAM!CH$73) + SUM(CAMCAM!CH$74) + SUM(CAMCAM!CH$75) )</f>
        <v>0.96138272477132181</v>
      </c>
      <c r="CI58" s="437">
        <f>( SUM(CAMCAM!CI$66) ) / ( SUM(CAMCAM!CI$66) + SUM(CAMCAM!CI$73) + SUM(CAMCAM!CI$74) + SUM(CAMCAM!CI$75) )</f>
        <v>0.96206259072447353</v>
      </c>
      <c r="CJ58" s="437"/>
    </row>
    <row r="59" spans="2:92" ht="28.5" thickBot="1" x14ac:dyDescent="0.4">
      <c r="B59" s="1219" t="s">
        <v>728</v>
      </c>
      <c r="C59" s="1220" t="s">
        <v>729</v>
      </c>
      <c r="D59" s="524" t="s">
        <v>730</v>
      </c>
      <c r="E59" s="1220" t="s">
        <v>305</v>
      </c>
      <c r="F59" s="525">
        <v>2</v>
      </c>
      <c r="G59" s="438">
        <f>SUM(CAMCAM!G$43) + SUM(CAMCAM!G$45) - SUM(CAMCAM!G$55) - SUM(CAMCAM!G$56)</f>
        <v>22.470000000000002</v>
      </c>
      <c r="H59" s="438">
        <f>SUM(CAMCAM!H$43) + SUM(CAMCAM!H$45) - SUM(CAMCAM!H$55) - SUM(CAMCAM!H$56)</f>
        <v>23.903559690000005</v>
      </c>
      <c r="I59" s="438">
        <f>SUM(CAMCAM!I$43) + SUM(CAMCAM!I$45) - SUM(CAMCAM!I$55) - SUM(CAMCAM!I$56)</f>
        <v>24.547230610000003</v>
      </c>
      <c r="J59" s="438">
        <f>SUM(CAMCAM!J$43) + SUM(CAMCAM!J$45) - SUM(CAMCAM!J$55) - SUM(CAMCAM!J$56)</f>
        <v>25.587165660000004</v>
      </c>
      <c r="K59" s="438">
        <f>SUM(CAMCAM!K$43) + SUM(CAMCAM!K$45) - SUM(CAMCAM!K$55) - SUM(CAMCAM!K$56)</f>
        <v>26.848108380000003</v>
      </c>
      <c r="L59" s="438">
        <f>SUM(CAMCAM!L$43) + SUM(CAMCAM!L$45) - SUM(CAMCAM!L$55) - SUM(CAMCAM!L$56)</f>
        <v>27.821185670000002</v>
      </c>
      <c r="M59" s="438">
        <f>SUM(CAMCAM!M$43) + SUM(CAMCAM!M$45) - SUM(CAMCAM!M$55) - SUM(CAMCAM!M$56)</f>
        <v>28.469952140000004</v>
      </c>
      <c r="N59" s="438">
        <f>SUM(CAMCAM!N$43) + SUM(CAMCAM!N$45) - SUM(CAMCAM!N$55) - SUM(CAMCAM!N$56)</f>
        <v>29.137201370000003</v>
      </c>
      <c r="O59" s="438">
        <f>SUM(CAMCAM!O$43) + SUM(CAMCAM!O$45) - SUM(CAMCAM!O$55) - SUM(CAMCAM!O$56)</f>
        <v>29.800065120000003</v>
      </c>
      <c r="P59" s="438">
        <f>SUM(CAMCAM!P$43) + SUM(CAMCAM!P$45) - SUM(CAMCAM!P$55) - SUM(CAMCAM!P$56)</f>
        <v>30.408994180000004</v>
      </c>
      <c r="Q59" s="438">
        <f>SUM(CAMCAM!Q$43) + SUM(CAMCAM!Q$45) - SUM(CAMCAM!Q$55) - SUM(CAMCAM!Q$56)</f>
        <v>30.972555440000004</v>
      </c>
      <c r="R59" s="438">
        <f>SUM(CAMCAM!R$43) + SUM(CAMCAM!R$45) - SUM(CAMCAM!R$55) - SUM(CAMCAM!R$56)</f>
        <v>31.539617170000003</v>
      </c>
      <c r="S59" s="438">
        <f>SUM(CAMCAM!S$43) + SUM(CAMCAM!S$45) - SUM(CAMCAM!S$55) - SUM(CAMCAM!S$56)</f>
        <v>32.055802209999996</v>
      </c>
      <c r="T59" s="438">
        <f>SUM(CAMCAM!T$43) + SUM(CAMCAM!T$45) - SUM(CAMCAM!T$55) - SUM(CAMCAM!T$56)</f>
        <v>32.53902935</v>
      </c>
      <c r="U59" s="438">
        <f>SUM(CAMCAM!U$43) + SUM(CAMCAM!U$45) - SUM(CAMCAM!U$55) - SUM(CAMCAM!U$56)</f>
        <v>33.069928449999999</v>
      </c>
      <c r="V59" s="438">
        <f>SUM(CAMCAM!V$43) + SUM(CAMCAM!V$45) - SUM(CAMCAM!V$55) - SUM(CAMCAM!V$56)</f>
        <v>33.533209849999999</v>
      </c>
      <c r="W59" s="438">
        <f>SUM(CAMCAM!W$43) + SUM(CAMCAM!W$45) - SUM(CAMCAM!W$55) - SUM(CAMCAM!W$56)</f>
        <v>34.017829459999994</v>
      </c>
      <c r="X59" s="438">
        <f>SUM(CAMCAM!X$43) + SUM(CAMCAM!X$45) - SUM(CAMCAM!X$55) - SUM(CAMCAM!X$56)</f>
        <v>34.510517379999996</v>
      </c>
      <c r="Y59" s="438">
        <f>SUM(CAMCAM!Y$43) + SUM(CAMCAM!Y$45) - SUM(CAMCAM!Y$55) - SUM(CAMCAM!Y$56)</f>
        <v>34.979892589999999</v>
      </c>
      <c r="Z59" s="438">
        <f>SUM(CAMCAM!Z$43) + SUM(CAMCAM!Z$45) - SUM(CAMCAM!Z$55) - SUM(CAMCAM!Z$56)</f>
        <v>35.41255245</v>
      </c>
      <c r="AA59" s="438">
        <f>SUM(CAMCAM!AA$43) + SUM(CAMCAM!AA$45) - SUM(CAMCAM!AA$55) - SUM(CAMCAM!AA$56)</f>
        <v>35.489511983999996</v>
      </c>
      <c r="AB59" s="438">
        <f>SUM(CAMCAM!AB$43) + SUM(CAMCAM!AB$45) - SUM(CAMCAM!AB$55) - SUM(CAMCAM!AB$56)</f>
        <v>35.566471518999997</v>
      </c>
      <c r="AC59" s="438">
        <f>SUM(CAMCAM!AC$43) + SUM(CAMCAM!AC$45) - SUM(CAMCAM!AC$55) - SUM(CAMCAM!AC$56)</f>
        <v>35.643431053</v>
      </c>
      <c r="AD59" s="438">
        <f>SUM(CAMCAM!AD$43) + SUM(CAMCAM!AD$45) - SUM(CAMCAM!AD$55) - SUM(CAMCAM!AD$56)</f>
        <v>35.720390587999994</v>
      </c>
      <c r="AE59" s="438">
        <f>SUM(CAMCAM!AE$43) + SUM(CAMCAM!AE$45) - SUM(CAMCAM!AE$55) - SUM(CAMCAM!AE$56)</f>
        <v>35.797350121999997</v>
      </c>
      <c r="AF59" s="438">
        <f>SUM(CAMCAM!AF$43) + SUM(CAMCAM!AF$45) - SUM(CAMCAM!AF$55) - SUM(CAMCAM!AF$56)</f>
        <v>35.874309656999998</v>
      </c>
      <c r="AG59" s="438">
        <f>SUM(CAMCAM!AG$43) + SUM(CAMCAM!AG$45) - SUM(CAMCAM!AG$55) - SUM(CAMCAM!AG$56)</f>
        <v>35.951269190999994</v>
      </c>
      <c r="AH59" s="438">
        <f>SUM(CAMCAM!AH$43) + SUM(CAMCAM!AH$45) - SUM(CAMCAM!AH$55) - SUM(CAMCAM!AH$56)</f>
        <v>36.028228725999995</v>
      </c>
      <c r="AI59" s="438">
        <f>SUM(CAMCAM!AI$43) + SUM(CAMCAM!AI$45) - SUM(CAMCAM!AI$55) - SUM(CAMCAM!AI$56)</f>
        <v>36.105188259999998</v>
      </c>
      <c r="AJ59" s="438">
        <f>SUM(CAMCAM!AJ$43) + SUM(CAMCAM!AJ$45) - SUM(CAMCAM!AJ$55) - SUM(CAMCAM!AJ$56)</f>
        <v>36.182147794999992</v>
      </c>
      <c r="AK59" s="438">
        <f>SUM(CAMCAM!AK$43) + SUM(CAMCAM!AK$45) - SUM(CAMCAM!AK$55) - SUM(CAMCAM!AK$56)</f>
        <v>36.259107328999995</v>
      </c>
      <c r="AL59" s="438">
        <f>SUM(CAMCAM!AL$43) + SUM(CAMCAM!AL$45) - SUM(CAMCAM!AL$55) - SUM(CAMCAM!AL$56)</f>
        <v>36.336066864000003</v>
      </c>
      <c r="AM59" s="438">
        <f>SUM(CAMCAM!AM$43) + SUM(CAMCAM!AM$45) - SUM(CAMCAM!AM$55) - SUM(CAMCAM!AM$56)</f>
        <v>36.413026398</v>
      </c>
      <c r="AN59" s="438">
        <f>SUM(CAMCAM!AN$43) + SUM(CAMCAM!AN$45) - SUM(CAMCAM!AN$55) - SUM(CAMCAM!AN$56)</f>
        <v>36.489985933</v>
      </c>
      <c r="AO59" s="438">
        <f>SUM(CAMCAM!AO$43) + SUM(CAMCAM!AO$45) - SUM(CAMCAM!AO$55) - SUM(CAMCAM!AO$56)</f>
        <v>36.566945466999996</v>
      </c>
      <c r="AP59" s="438">
        <f>SUM(CAMCAM!AP$43) + SUM(CAMCAM!AP$45) - SUM(CAMCAM!AP$55) - SUM(CAMCAM!AP$56)</f>
        <v>36.643905001</v>
      </c>
      <c r="AQ59" s="438">
        <f>SUM(CAMCAM!AQ$43) + SUM(CAMCAM!AQ$45) - SUM(CAMCAM!AQ$55) - SUM(CAMCAM!AQ$56)</f>
        <v>36.720864535999993</v>
      </c>
      <c r="AR59" s="438">
        <f>SUM(CAMCAM!AR$43) + SUM(CAMCAM!AR$45) - SUM(CAMCAM!AR$55) - SUM(CAMCAM!AR$56)</f>
        <v>36.797824069999997</v>
      </c>
      <c r="AS59" s="438">
        <f>SUM(CAMCAM!AS$43) + SUM(CAMCAM!AS$45) - SUM(CAMCAM!AS$55) - SUM(CAMCAM!AS$56)</f>
        <v>36.874783604999998</v>
      </c>
      <c r="AT59" s="438">
        <f>SUM(CAMCAM!AT$43) + SUM(CAMCAM!AT$45) - SUM(CAMCAM!AT$55) - SUM(CAMCAM!AT$56)</f>
        <v>36.951743138999994</v>
      </c>
      <c r="AU59" s="438">
        <f>SUM(CAMCAM!AU$43) + SUM(CAMCAM!AU$45) - SUM(CAMCAM!AU$55) - SUM(CAMCAM!AU$56)</f>
        <v>37.028702683999995</v>
      </c>
      <c r="AV59" s="438">
        <f>SUM(CAMCAM!AV$43) + SUM(CAMCAM!AV$45) - SUM(CAMCAM!AV$55) - SUM(CAMCAM!AV$56)</f>
        <v>37.105662217999999</v>
      </c>
      <c r="AW59" s="438">
        <f>SUM(CAMCAM!AW$43) + SUM(CAMCAM!AW$45) - SUM(CAMCAM!AW$55) - SUM(CAMCAM!AW$56)</f>
        <v>37.182621752999992</v>
      </c>
      <c r="AX59" s="438">
        <f>SUM(CAMCAM!AX$43) + SUM(CAMCAM!AX$45) - SUM(CAMCAM!AX$55) - SUM(CAMCAM!AX$56)</f>
        <v>37.259581286999996</v>
      </c>
      <c r="AY59" s="438">
        <f>SUM(CAMCAM!AY$43) + SUM(CAMCAM!AY$45) - SUM(CAMCAM!AY$55) - SUM(CAMCAM!AY$56)</f>
        <v>37.336540821999996</v>
      </c>
      <c r="AZ59" s="438">
        <f>SUM(CAMCAM!AZ$43) + SUM(CAMCAM!AZ$45) - SUM(CAMCAM!AZ$55) - SUM(CAMCAM!AZ$56)</f>
        <v>37.413500355999993</v>
      </c>
      <c r="BA59" s="438">
        <f>SUM(CAMCAM!BA$43) + SUM(CAMCAM!BA$45) - SUM(CAMCAM!BA$55) - SUM(CAMCAM!BA$56)</f>
        <v>37.490459891</v>
      </c>
      <c r="BB59" s="438">
        <f>SUM(CAMCAM!BB$43) + SUM(CAMCAM!BB$45) - SUM(CAMCAM!BB$55) - SUM(CAMCAM!BB$56)</f>
        <v>37.567419424999997</v>
      </c>
      <c r="BC59" s="438">
        <f>SUM(CAMCAM!BC$43) + SUM(CAMCAM!BC$45) - SUM(CAMCAM!BC$55) - SUM(CAMCAM!BC$56)</f>
        <v>37.644378959000001</v>
      </c>
      <c r="BD59" s="438">
        <f>SUM(CAMCAM!BD$43) + SUM(CAMCAM!BD$45) - SUM(CAMCAM!BD$55) - SUM(CAMCAM!BD$56)</f>
        <v>37.721338493999994</v>
      </c>
      <c r="BE59" s="438">
        <f>SUM(CAMCAM!BE$43) + SUM(CAMCAM!BE$45) - SUM(CAMCAM!BE$55) - SUM(CAMCAM!BE$56)</f>
        <v>37.798298027999998</v>
      </c>
      <c r="BF59" s="438">
        <f>SUM(CAMCAM!BF$43) + SUM(CAMCAM!BF$45) - SUM(CAMCAM!BF$55) - SUM(CAMCAM!BF$56)</f>
        <v>37.875257562999998</v>
      </c>
      <c r="BG59" s="438">
        <f>SUM(CAMCAM!BG$43) + SUM(CAMCAM!BG$45) - SUM(CAMCAM!BG$55) - SUM(CAMCAM!BG$56)</f>
        <v>37.952217096999995</v>
      </c>
      <c r="BH59" s="438">
        <f>SUM(CAMCAM!BH$43) + SUM(CAMCAM!BH$45) - SUM(CAMCAM!BH$55) - SUM(CAMCAM!BH$56)</f>
        <v>38.029176631999995</v>
      </c>
      <c r="BI59" s="438">
        <f>SUM(CAMCAM!BI$43) + SUM(CAMCAM!BI$45) - SUM(CAMCAM!BI$55) - SUM(CAMCAM!BI$56)</f>
        <v>38.106136165999999</v>
      </c>
      <c r="BJ59" s="438">
        <f>SUM(CAMCAM!BJ$43) + SUM(CAMCAM!BJ$45) - SUM(CAMCAM!BJ$55) - SUM(CAMCAM!BJ$56)</f>
        <v>38.183095700999992</v>
      </c>
      <c r="BK59" s="438">
        <f>SUM(CAMCAM!BK$43) + SUM(CAMCAM!BK$45) - SUM(CAMCAM!BK$55) - SUM(CAMCAM!BK$56)</f>
        <v>38.260055234999996</v>
      </c>
      <c r="BL59" s="438">
        <f>SUM(CAMCAM!BL$43) + SUM(CAMCAM!BL$45) - SUM(CAMCAM!BL$55) - SUM(CAMCAM!BL$56)</f>
        <v>38.337014769999996</v>
      </c>
      <c r="BM59" s="438">
        <f>SUM(CAMCAM!BM$43) + SUM(CAMCAM!BM$45) - SUM(CAMCAM!BM$55) - SUM(CAMCAM!BM$56)</f>
        <v>38.413974304</v>
      </c>
      <c r="BN59" s="438">
        <f>SUM(CAMCAM!BN$43) + SUM(CAMCAM!BN$45) - SUM(CAMCAM!BN$55) - SUM(CAMCAM!BN$56)</f>
        <v>38.490933838999993</v>
      </c>
      <c r="BO59" s="438">
        <f>SUM(CAMCAM!BO$43) + SUM(CAMCAM!BO$45) - SUM(CAMCAM!BO$55) - SUM(CAMCAM!BO$56)</f>
        <v>38.567893372999997</v>
      </c>
      <c r="BP59" s="438">
        <f>SUM(CAMCAM!BP$43) + SUM(CAMCAM!BP$45) - SUM(CAMCAM!BP$55) - SUM(CAMCAM!BP$56)</f>
        <v>38.644852908000004</v>
      </c>
      <c r="BQ59" s="438">
        <f>SUM(CAMCAM!BQ$43) + SUM(CAMCAM!BQ$45) - SUM(CAMCAM!BQ$55) - SUM(CAMCAM!BQ$56)</f>
        <v>38.721812441999994</v>
      </c>
      <c r="BR59" s="438">
        <f>SUM(CAMCAM!BR$43) + SUM(CAMCAM!BR$45) - SUM(CAMCAM!BR$55) - SUM(CAMCAM!BR$56)</f>
        <v>38.798771975999998</v>
      </c>
      <c r="BS59" s="438">
        <f>SUM(CAMCAM!BS$43) + SUM(CAMCAM!BS$45) - SUM(CAMCAM!BS$55) - SUM(CAMCAM!BS$56)</f>
        <v>38.875731510999998</v>
      </c>
      <c r="BT59" s="438">
        <f>SUM(CAMCAM!BT$43) + SUM(CAMCAM!BT$45) - SUM(CAMCAM!BT$55) - SUM(CAMCAM!BT$56)</f>
        <v>38.952691044999995</v>
      </c>
      <c r="BU59" s="438">
        <f>SUM(CAMCAM!BU$43) + SUM(CAMCAM!BU$45) - SUM(CAMCAM!BU$55) - SUM(CAMCAM!BU$56)</f>
        <v>39.029650579999995</v>
      </c>
      <c r="BV59" s="438">
        <f>SUM(CAMCAM!BV$43) + SUM(CAMCAM!BV$45) - SUM(CAMCAM!BV$55) - SUM(CAMCAM!BV$56)</f>
        <v>39.106610113999999</v>
      </c>
      <c r="BW59" s="438">
        <f>SUM(CAMCAM!BW$43) + SUM(CAMCAM!BW$45) - SUM(CAMCAM!BW$55) - SUM(CAMCAM!BW$56)</f>
        <v>39.183569648999999</v>
      </c>
      <c r="BX59" s="438">
        <f>SUM(CAMCAM!BX$43) + SUM(CAMCAM!BX$45) - SUM(CAMCAM!BX$55) - SUM(CAMCAM!BX$56)</f>
        <v>39.260529182999996</v>
      </c>
      <c r="BY59" s="438">
        <f>SUM(CAMCAM!BY$43) + SUM(CAMCAM!BY$45) - SUM(CAMCAM!BY$55) - SUM(CAMCAM!BY$56)</f>
        <v>39.337488717999996</v>
      </c>
      <c r="BZ59" s="438">
        <f>SUM(CAMCAM!BZ$43) + SUM(CAMCAM!BZ$45) - SUM(CAMCAM!BZ$55) - SUM(CAMCAM!BZ$56)</f>
        <v>39.414448252</v>
      </c>
      <c r="CA59" s="438">
        <f>SUM(CAMCAM!CA$43) + SUM(CAMCAM!CA$45) - SUM(CAMCAM!CA$55) - SUM(CAMCAM!CA$56)</f>
        <v>39.491407786999993</v>
      </c>
      <c r="CB59" s="438">
        <f>SUM(CAMCAM!CB$43) + SUM(CAMCAM!CB$45) - SUM(CAMCAM!CB$55) - SUM(CAMCAM!CB$56)</f>
        <v>39.568367320999997</v>
      </c>
      <c r="CC59" s="438">
        <f>SUM(CAMCAM!CC$43) + SUM(CAMCAM!CC$45) - SUM(CAMCAM!CC$55) - SUM(CAMCAM!CC$56)</f>
        <v>39.645326855999997</v>
      </c>
      <c r="CD59" s="438">
        <f>SUM(CAMCAM!CD$43) + SUM(CAMCAM!CD$45) - SUM(CAMCAM!CD$55) - SUM(CAMCAM!CD$56)</f>
        <v>39.722286389999994</v>
      </c>
      <c r="CE59" s="438">
        <f>SUM(CAMCAM!CE$43) + SUM(CAMCAM!CE$45) - SUM(CAMCAM!CE$55) - SUM(CAMCAM!CE$56)</f>
        <v>39.799245925000001</v>
      </c>
      <c r="CF59" s="438">
        <f>SUM(CAMCAM!CF$43) + SUM(CAMCAM!CF$45) - SUM(CAMCAM!CF$55) - SUM(CAMCAM!CF$56)</f>
        <v>39.876205458999998</v>
      </c>
      <c r="CG59" s="438">
        <f>SUM(CAMCAM!CG$43) + SUM(CAMCAM!CG$45) - SUM(CAMCAM!CG$55) - SUM(CAMCAM!CG$56)</f>
        <v>39.953164992999994</v>
      </c>
      <c r="CH59" s="438">
        <f>SUM(CAMCAM!CH$43) + SUM(CAMCAM!CH$45) - SUM(CAMCAM!CH$55) - SUM(CAMCAM!CH$56)</f>
        <v>39.953164992999994</v>
      </c>
      <c r="CI59" s="438">
        <f>SUM(CAMCAM!CI$43) + SUM(CAMCAM!CI$45) - SUM(CAMCAM!CI$55) - SUM(CAMCAM!CI$56)</f>
        <v>39.953164992999994</v>
      </c>
      <c r="CJ59" s="438"/>
    </row>
    <row r="60" spans="2:92" ht="14.5" thickBot="1" x14ac:dyDescent="0.4">
      <c r="B60" s="1216" t="s">
        <v>731</v>
      </c>
      <c r="C60" s="568" t="s">
        <v>390</v>
      </c>
      <c r="D60" s="569" t="s">
        <v>732</v>
      </c>
      <c r="E60" s="568" t="s">
        <v>305</v>
      </c>
      <c r="F60" s="570">
        <v>2</v>
      </c>
      <c r="G60" s="435">
        <f>CAMCAM!G61</f>
        <v>13.5</v>
      </c>
      <c r="H60" s="435">
        <f>CAMCAM!H61</f>
        <v>13.5</v>
      </c>
      <c r="I60" s="435">
        <f>CAMCAM!I61</f>
        <v>13.510000000000002</v>
      </c>
      <c r="J60" s="435">
        <f>CAMCAM!J61</f>
        <v>13.510000000000002</v>
      </c>
      <c r="K60" s="435">
        <f>CAMCAM!K61</f>
        <v>13.510000000000002</v>
      </c>
      <c r="L60" s="435">
        <f>CAMCAM!L61</f>
        <v>13.2</v>
      </c>
      <c r="M60" s="435">
        <f>CAMCAM!M61</f>
        <v>13.2</v>
      </c>
      <c r="N60" s="435">
        <f>CAMCAM!N61</f>
        <v>13.2</v>
      </c>
      <c r="O60" s="435">
        <f>CAMCAM!O61</f>
        <v>13.2</v>
      </c>
      <c r="P60" s="435">
        <f>CAMCAM!P61</f>
        <v>13.2</v>
      </c>
      <c r="Q60" s="435">
        <f>CAMCAM!Q61</f>
        <v>13.2</v>
      </c>
      <c r="R60" s="435">
        <f>CAMCAM!R61</f>
        <v>13.2</v>
      </c>
      <c r="S60" s="435">
        <f>CAMCAM!S61</f>
        <v>13.2</v>
      </c>
      <c r="T60" s="435">
        <f>CAMCAM!T61</f>
        <v>13.2</v>
      </c>
      <c r="U60" s="435">
        <f>CAMCAM!U61</f>
        <v>13.2</v>
      </c>
      <c r="V60" s="435">
        <f>CAMCAM!V61</f>
        <v>13.2</v>
      </c>
      <c r="W60" s="435">
        <f>CAMCAM!W61</f>
        <v>13.2</v>
      </c>
      <c r="X60" s="435">
        <f>CAMCAM!X61</f>
        <v>13.2</v>
      </c>
      <c r="Y60" s="435">
        <f>CAMCAM!Y61</f>
        <v>13.2</v>
      </c>
      <c r="Z60" s="435">
        <f>CAMCAM!Z61</f>
        <v>13.2</v>
      </c>
      <c r="AA60" s="435">
        <f>CAMCAM!AA61</f>
        <v>13.2</v>
      </c>
      <c r="AB60" s="435">
        <f>CAMCAM!AB61</f>
        <v>13.2</v>
      </c>
      <c r="AC60" s="435">
        <f>CAMCAM!AC61</f>
        <v>13.2</v>
      </c>
      <c r="AD60" s="435">
        <f>CAMCAM!AD61</f>
        <v>13.2</v>
      </c>
      <c r="AE60" s="435">
        <f>CAMCAM!AE61</f>
        <v>13.2</v>
      </c>
      <c r="AF60" s="435">
        <f>CAMCAM!AF61</f>
        <v>13.2</v>
      </c>
      <c r="AG60" s="435">
        <f>CAMCAM!AG61</f>
        <v>13.2</v>
      </c>
      <c r="AH60" s="435">
        <f>CAMCAM!AH61</f>
        <v>13.2</v>
      </c>
      <c r="AI60" s="435">
        <f>CAMCAM!AI61</f>
        <v>13.2</v>
      </c>
      <c r="AJ60" s="435">
        <f>CAMCAM!AJ61</f>
        <v>13.2</v>
      </c>
      <c r="AK60" s="435">
        <f>CAMCAM!AK61</f>
        <v>13.2</v>
      </c>
      <c r="AL60" s="435">
        <f>CAMCAM!AL61</f>
        <v>13.2</v>
      </c>
      <c r="AM60" s="435">
        <f>CAMCAM!AM61</f>
        <v>13.2</v>
      </c>
      <c r="AN60" s="435">
        <f>CAMCAM!AN61</f>
        <v>13.2</v>
      </c>
      <c r="AO60" s="435">
        <f>CAMCAM!AO61</f>
        <v>13.2</v>
      </c>
      <c r="AP60" s="435">
        <f>CAMCAM!AP61</f>
        <v>13.2</v>
      </c>
      <c r="AQ60" s="435">
        <f>CAMCAM!AQ61</f>
        <v>13.2</v>
      </c>
      <c r="AR60" s="435">
        <f>CAMCAM!AR61</f>
        <v>13.2</v>
      </c>
      <c r="AS60" s="435">
        <f>CAMCAM!AS61</f>
        <v>13.2</v>
      </c>
      <c r="AT60" s="435">
        <f>CAMCAM!AT61</f>
        <v>13.2</v>
      </c>
      <c r="AU60" s="435">
        <f>CAMCAM!AU61</f>
        <v>13.2</v>
      </c>
      <c r="AV60" s="435">
        <f>CAMCAM!AV61</f>
        <v>13.2</v>
      </c>
      <c r="AW60" s="435">
        <f>CAMCAM!AW61</f>
        <v>13.2</v>
      </c>
      <c r="AX60" s="435">
        <f>CAMCAM!AX61</f>
        <v>13.2</v>
      </c>
      <c r="AY60" s="435">
        <f>CAMCAM!AY61</f>
        <v>13.2</v>
      </c>
      <c r="AZ60" s="435">
        <f>CAMCAM!AZ61</f>
        <v>13.2</v>
      </c>
      <c r="BA60" s="435">
        <f>CAMCAM!BA61</f>
        <v>13.2</v>
      </c>
      <c r="BB60" s="435">
        <f>CAMCAM!BB61</f>
        <v>13.2</v>
      </c>
      <c r="BC60" s="435">
        <f>CAMCAM!BC61</f>
        <v>13.2</v>
      </c>
      <c r="BD60" s="435">
        <f>CAMCAM!BD61</f>
        <v>13.2</v>
      </c>
      <c r="BE60" s="435">
        <f>CAMCAM!BE61</f>
        <v>13.2</v>
      </c>
      <c r="BF60" s="435">
        <f>CAMCAM!BF61</f>
        <v>13.2</v>
      </c>
      <c r="BG60" s="435">
        <f>CAMCAM!BG61</f>
        <v>13.2</v>
      </c>
      <c r="BH60" s="435">
        <f>CAMCAM!BH61</f>
        <v>13.2</v>
      </c>
      <c r="BI60" s="435">
        <f>CAMCAM!BI61</f>
        <v>13.2</v>
      </c>
      <c r="BJ60" s="435">
        <f>CAMCAM!BJ61</f>
        <v>13.2</v>
      </c>
      <c r="BK60" s="435">
        <f>CAMCAM!BK61</f>
        <v>13.2</v>
      </c>
      <c r="BL60" s="435">
        <f>CAMCAM!BL61</f>
        <v>13.2</v>
      </c>
      <c r="BM60" s="435">
        <f>CAMCAM!BM61</f>
        <v>13.2</v>
      </c>
      <c r="BN60" s="435">
        <f>CAMCAM!BN61</f>
        <v>13.2</v>
      </c>
      <c r="BO60" s="435">
        <f>CAMCAM!BO61</f>
        <v>13.2</v>
      </c>
      <c r="BP60" s="435">
        <f>CAMCAM!BP61</f>
        <v>13.2</v>
      </c>
      <c r="BQ60" s="435">
        <f>CAMCAM!BQ61</f>
        <v>13.2</v>
      </c>
      <c r="BR60" s="435">
        <f>CAMCAM!BR61</f>
        <v>13.2</v>
      </c>
      <c r="BS60" s="435">
        <f>CAMCAM!BS61</f>
        <v>13.2</v>
      </c>
      <c r="BT60" s="435">
        <f>CAMCAM!BT61</f>
        <v>13.2</v>
      </c>
      <c r="BU60" s="435">
        <f>CAMCAM!BU61</f>
        <v>13.2</v>
      </c>
      <c r="BV60" s="435">
        <f>CAMCAM!BV61</f>
        <v>13.2</v>
      </c>
      <c r="BW60" s="435">
        <f>CAMCAM!BW61</f>
        <v>13.2</v>
      </c>
      <c r="BX60" s="435">
        <f>CAMCAM!BX61</f>
        <v>13.2</v>
      </c>
      <c r="BY60" s="435">
        <f>CAMCAM!BY61</f>
        <v>13.2</v>
      </c>
      <c r="BZ60" s="435">
        <f>CAMCAM!BZ61</f>
        <v>13.2</v>
      </c>
      <c r="CA60" s="435">
        <f>CAMCAM!CA61</f>
        <v>13.2</v>
      </c>
      <c r="CB60" s="435">
        <f>CAMCAM!CB61</f>
        <v>13.2</v>
      </c>
      <c r="CC60" s="435">
        <f>CAMCAM!CC61</f>
        <v>13.2</v>
      </c>
      <c r="CD60" s="435">
        <f>CAMCAM!CD61</f>
        <v>13.2</v>
      </c>
      <c r="CE60" s="435">
        <f>CAMCAM!CE61</f>
        <v>13.2</v>
      </c>
      <c r="CF60" s="435">
        <f>CAMCAM!CF61</f>
        <v>13.2</v>
      </c>
      <c r="CG60" s="435">
        <f>CAMCAM!CG61</f>
        <v>13.2</v>
      </c>
      <c r="CH60" s="435">
        <f>CAMCAM!CH61</f>
        <v>13.2</v>
      </c>
      <c r="CI60" s="435">
        <f>CAMCAM!CI61</f>
        <v>13.2</v>
      </c>
      <c r="CJ60" s="438"/>
    </row>
    <row r="61" spans="2:92" ht="14.5" thickBot="1" x14ac:dyDescent="0.4">
      <c r="B61" s="1221" t="s">
        <v>733</v>
      </c>
      <c r="C61" s="526" t="s">
        <v>455</v>
      </c>
      <c r="D61" s="527" t="s">
        <v>734</v>
      </c>
      <c r="E61" s="526" t="s">
        <v>305</v>
      </c>
      <c r="F61" s="523">
        <v>2</v>
      </c>
      <c r="G61" s="435">
        <f>CAMCAM!G85</f>
        <v>87.984627709999998</v>
      </c>
      <c r="H61" s="435">
        <f>CAMCAM!H85</f>
        <v>85.58818740000001</v>
      </c>
      <c r="I61" s="435">
        <f>CAMCAM!I85</f>
        <v>85.279863060000011</v>
      </c>
      <c r="J61" s="435">
        <f>CAMCAM!J85</f>
        <v>85.199520669999998</v>
      </c>
      <c r="K61" s="435">
        <f>CAMCAM!K85</f>
        <v>85.310098790000012</v>
      </c>
      <c r="L61" s="435">
        <f>CAMCAM!L85</f>
        <v>86.76977706000001</v>
      </c>
      <c r="M61" s="435">
        <f>CAMCAM!M85</f>
        <v>88.028121169999991</v>
      </c>
      <c r="N61" s="435">
        <f>CAMCAM!N85</f>
        <v>89.451262249999999</v>
      </c>
      <c r="O61" s="435">
        <f>CAMCAM!O85</f>
        <v>90.84962745</v>
      </c>
      <c r="P61" s="435">
        <f>CAMCAM!P85</f>
        <v>92.103526390000013</v>
      </c>
      <c r="Q61" s="435">
        <f>CAMCAM!Q85</f>
        <v>93.204895900000011</v>
      </c>
      <c r="R61" s="435">
        <f>CAMCAM!R85</f>
        <v>94.180420389999995</v>
      </c>
      <c r="S61" s="435">
        <f>CAMCAM!S85</f>
        <v>94.998310879999991</v>
      </c>
      <c r="T61" s="435">
        <f>CAMCAM!T85</f>
        <v>95.79084331</v>
      </c>
      <c r="U61" s="435">
        <f>CAMCAM!U85</f>
        <v>96.643071910000003</v>
      </c>
      <c r="V61" s="435">
        <f>CAMCAM!V85</f>
        <v>97.390270020000003</v>
      </c>
      <c r="W61" s="435">
        <f>CAMCAM!W85</f>
        <v>98.121555880000003</v>
      </c>
      <c r="X61" s="435">
        <f>CAMCAM!X85</f>
        <v>98.833767390000006</v>
      </c>
      <c r="Y61" s="435">
        <f>CAMCAM!Y85</f>
        <v>99.539116239999998</v>
      </c>
      <c r="Z61" s="435">
        <f>CAMCAM!Z85</f>
        <v>100.18544556000001</v>
      </c>
      <c r="AA61" s="435">
        <f>CAMCAM!AA85</f>
        <v>100.480638777</v>
      </c>
      <c r="AB61" s="435">
        <f>CAMCAM!AB85</f>
        <v>100.766955221</v>
      </c>
      <c r="AC61" s="435">
        <f>CAMCAM!AC85</f>
        <v>101.04331469300001</v>
      </c>
      <c r="AD61" s="435">
        <f>CAMCAM!AD85</f>
        <v>101.31361116299999</v>
      </c>
      <c r="AE61" s="435">
        <f>CAMCAM!AE85</f>
        <v>101.569209957</v>
      </c>
      <c r="AF61" s="435">
        <f>CAMCAM!AF85</f>
        <v>101.80505833500001</v>
      </c>
      <c r="AG61" s="435">
        <f>CAMCAM!AG85</f>
        <v>102.025737342</v>
      </c>
      <c r="AH61" s="435">
        <f>CAMCAM!AH85</f>
        <v>102.23883023800001</v>
      </c>
      <c r="AI61" s="435">
        <f>CAMCAM!AI85</f>
        <v>102.44032577199999</v>
      </c>
      <c r="AJ61" s="435">
        <f>CAMCAM!AJ85</f>
        <v>102.625574034</v>
      </c>
      <c r="AK61" s="435">
        <f>CAMCAM!AK85</f>
        <v>102.743348387</v>
      </c>
      <c r="AL61" s="435">
        <f>CAMCAM!AL85</f>
        <v>102.85780364500002</v>
      </c>
      <c r="AM61" s="435">
        <f>CAMCAM!AM85</f>
        <v>102.971738723</v>
      </c>
      <c r="AN61" s="435">
        <f>CAMCAM!AN85</f>
        <v>103.08300325499999</v>
      </c>
      <c r="AO61" s="435">
        <f>CAMCAM!AO85</f>
        <v>103.19565122500001</v>
      </c>
      <c r="AP61" s="435">
        <f>CAMCAM!AP85</f>
        <v>103.30845836200001</v>
      </c>
      <c r="AQ61" s="435">
        <f>CAMCAM!AQ85</f>
        <v>103.421199352</v>
      </c>
      <c r="AR61" s="435">
        <f>CAMCAM!AR85</f>
        <v>103.52810689</v>
      </c>
      <c r="AS61" s="435">
        <f>CAMCAM!AS85</f>
        <v>103.63038352800001</v>
      </c>
      <c r="AT61" s="435">
        <f>CAMCAM!AT85</f>
        <v>103.73279084800001</v>
      </c>
      <c r="AU61" s="435">
        <f>CAMCAM!AU85</f>
        <v>103.832749691</v>
      </c>
      <c r="AV61" s="435">
        <f>CAMCAM!AV85</f>
        <v>103.93152597700001</v>
      </c>
      <c r="AW61" s="435">
        <f>CAMCAM!AW85</f>
        <v>104.030729167</v>
      </c>
      <c r="AX61" s="435">
        <f>CAMCAM!AX85</f>
        <v>104.130000456</v>
      </c>
      <c r="AY61" s="435">
        <f>CAMCAM!AY85</f>
        <v>104.231154449</v>
      </c>
      <c r="AZ61" s="435">
        <f>CAMCAM!AZ85</f>
        <v>104.33449645100001</v>
      </c>
      <c r="BA61" s="435">
        <f>CAMCAM!BA85</f>
        <v>104.43978229000001</v>
      </c>
      <c r="BB61" s="435">
        <f>CAMCAM!BB85</f>
        <v>104.545279476</v>
      </c>
      <c r="BC61" s="435">
        <f>CAMCAM!BC85</f>
        <v>104.65337274500001</v>
      </c>
      <c r="BD61" s="435">
        <f>CAMCAM!BD85</f>
        <v>104.763283763</v>
      </c>
      <c r="BE61" s="435">
        <f>CAMCAM!BE85</f>
        <v>104.875400939</v>
      </c>
      <c r="BF61" s="435">
        <f>CAMCAM!BF85</f>
        <v>104.991767615</v>
      </c>
      <c r="BG61" s="435">
        <f>CAMCAM!BG85</f>
        <v>105.111878023</v>
      </c>
      <c r="BH61" s="435">
        <f>CAMCAM!BH85</f>
        <v>105.23599921100001</v>
      </c>
      <c r="BI61" s="435">
        <f>CAMCAM!BI85</f>
        <v>105.36268576100001</v>
      </c>
      <c r="BJ61" s="435">
        <f>CAMCAM!BJ85</f>
        <v>105.492449138</v>
      </c>
      <c r="BK61" s="435">
        <f>CAMCAM!BK85</f>
        <v>105.625106207</v>
      </c>
      <c r="BL61" s="435">
        <f>CAMCAM!BL85</f>
        <v>105.761594344</v>
      </c>
      <c r="BM61" s="435">
        <f>CAMCAM!BM85</f>
        <v>105.90316446400001</v>
      </c>
      <c r="BN61" s="435">
        <f>CAMCAM!BN85</f>
        <v>106.049124996</v>
      </c>
      <c r="BO61" s="435">
        <f>CAMCAM!BO85</f>
        <v>106.200768813</v>
      </c>
      <c r="BP61" s="435">
        <f>CAMCAM!BP85</f>
        <v>106.35720240400002</v>
      </c>
      <c r="BQ61" s="435">
        <f>CAMCAM!BQ85</f>
        <v>106.51840619399999</v>
      </c>
      <c r="BR61" s="435">
        <f>CAMCAM!BR85</f>
        <v>106.681929466</v>
      </c>
      <c r="BS61" s="435">
        <f>CAMCAM!BS85</f>
        <v>106.84855499</v>
      </c>
      <c r="BT61" s="435">
        <f>CAMCAM!BT85</f>
        <v>107.017891558</v>
      </c>
      <c r="BU61" s="435">
        <f>CAMCAM!BU85</f>
        <v>107.190610925</v>
      </c>
      <c r="BV61" s="435">
        <f>CAMCAM!BV85</f>
        <v>107.36411277300002</v>
      </c>
      <c r="BW61" s="435">
        <f>CAMCAM!BW85</f>
        <v>107.53950608700001</v>
      </c>
      <c r="BX61" s="435">
        <f>CAMCAM!BX85</f>
        <v>107.71660801100001</v>
      </c>
      <c r="BY61" s="435">
        <f>CAMCAM!BY85</f>
        <v>107.895873998</v>
      </c>
      <c r="BZ61" s="435">
        <f>CAMCAM!BZ85</f>
        <v>108.076001792</v>
      </c>
      <c r="CA61" s="435">
        <f>CAMCAM!CA85</f>
        <v>108.25718277199999</v>
      </c>
      <c r="CB61" s="435">
        <f>CAMCAM!CB85</f>
        <v>108.437527977</v>
      </c>
      <c r="CC61" s="435">
        <f>CAMCAM!CC85</f>
        <v>108.61847019200002</v>
      </c>
      <c r="CD61" s="435">
        <f>CAMCAM!CD85</f>
        <v>108.79855862799999</v>
      </c>
      <c r="CE61" s="435">
        <f>CAMCAM!CE85</f>
        <v>108.977751955</v>
      </c>
      <c r="CF61" s="435">
        <f>CAMCAM!CF85</f>
        <v>109.155158567</v>
      </c>
      <c r="CG61" s="435">
        <f>CAMCAM!CG85</f>
        <v>109.331290709</v>
      </c>
      <c r="CH61" s="435">
        <f>CAMCAM!CH85</f>
        <v>109.428455767</v>
      </c>
      <c r="CI61" s="435">
        <f>CAMCAM!CI85</f>
        <v>113.588455767</v>
      </c>
      <c r="CJ61" s="438"/>
    </row>
    <row r="62" spans="2:92" s="76" customFormat="1" ht="54" customHeight="1" x14ac:dyDescent="0.35">
      <c r="B62" s="1222" t="s">
        <v>735</v>
      </c>
      <c r="C62" s="1223" t="s">
        <v>462</v>
      </c>
      <c r="D62" s="571" t="s">
        <v>736</v>
      </c>
      <c r="E62" s="1223" t="s">
        <v>305</v>
      </c>
      <c r="F62" s="572">
        <v>2</v>
      </c>
      <c r="G62" s="439"/>
      <c r="H62" s="439"/>
      <c r="I62" s="439">
        <f>CAMCAM!I88</f>
        <v>2.9757597102411202</v>
      </c>
      <c r="J62" s="439">
        <f>CAMCAM!J88</f>
        <v>3.3576955154454899</v>
      </c>
      <c r="K62" s="439">
        <f>CAMCAM!K88</f>
        <v>2.8574079032938799</v>
      </c>
      <c r="L62" s="439">
        <f>CAMCAM!L88</f>
        <v>3.0369562419803602</v>
      </c>
      <c r="M62" s="439">
        <f>CAMCAM!M88</f>
        <v>3.2584093998703398</v>
      </c>
      <c r="N62" s="439">
        <f>CAMCAM!N88</f>
        <v>3.1207130672901799</v>
      </c>
      <c r="O62" s="439">
        <f>CAMCAM!O88</f>
        <v>3.3875136302605302</v>
      </c>
      <c r="P62" s="439">
        <f>CAMCAM!P88</f>
        <v>3.3056328126358898</v>
      </c>
      <c r="Q62" s="439">
        <f>CAMCAM!Q88</f>
        <v>2.2164329258121902</v>
      </c>
      <c r="R62" s="439">
        <f>CAMCAM!R88</f>
        <v>2.2168592260432001</v>
      </c>
      <c r="S62" s="439">
        <f>CAMCAM!S88</f>
        <v>2.38857509042391</v>
      </c>
      <c r="T62" s="439">
        <f>CAMCAM!T88</f>
        <v>2.3889017660576801</v>
      </c>
      <c r="U62" s="439">
        <f>CAMCAM!U88</f>
        <v>2.5805699160681899</v>
      </c>
      <c r="V62" s="439">
        <f>CAMCAM!V88</f>
        <v>1.28470629122971</v>
      </c>
      <c r="W62" s="439">
        <f>CAMCAM!W88</f>
        <v>1.2477030571234899</v>
      </c>
      <c r="X62" s="439">
        <f>CAMCAM!X88</f>
        <v>1.35993704003772</v>
      </c>
      <c r="Y62" s="439">
        <f>CAMCAM!Y88</f>
        <v>1.4398394618430299</v>
      </c>
      <c r="Z62" s="439">
        <f>CAMCAM!Z88</f>
        <v>1.5094851578291699</v>
      </c>
      <c r="AA62" s="439">
        <f>CAMCAM!AA88</f>
        <v>1.4594331686028099</v>
      </c>
      <c r="AB62" s="439">
        <f>CAMCAM!AB88</f>
        <v>1.3553945057230601</v>
      </c>
      <c r="AC62" s="439">
        <f>CAMCAM!AC88</f>
        <v>1.43436406404553</v>
      </c>
      <c r="AD62" s="439">
        <f>CAMCAM!AD88</f>
        <v>1.5657903243262501</v>
      </c>
      <c r="AE62" s="439">
        <f>CAMCAM!AE88</f>
        <v>1.5225776098152499</v>
      </c>
      <c r="AF62" s="439">
        <f>CAMCAM!AF88</f>
        <v>1.5470441966673401</v>
      </c>
      <c r="AG62" s="439">
        <f>CAMCAM!AG88</f>
        <v>1.6466949327851299</v>
      </c>
      <c r="AH62" s="439">
        <f>CAMCAM!AH88</f>
        <v>1.5566659392717701</v>
      </c>
      <c r="AI62" s="439">
        <f>CAMCAM!AI88</f>
        <v>1.5522290046178098</v>
      </c>
      <c r="AJ62" s="439">
        <f>CAMCAM!AJ88</f>
        <v>1.5867827804485599</v>
      </c>
      <c r="AK62" s="439">
        <f>CAMCAM!AK88</f>
        <v>1.5667313850684801</v>
      </c>
      <c r="AL62" s="439">
        <f>CAMCAM!AL88</f>
        <v>1.6235050759381899</v>
      </c>
      <c r="AM62" s="439">
        <f>CAMCAM!AM88</f>
        <v>1.5933232492835501</v>
      </c>
      <c r="AN62" s="439">
        <f>CAMCAM!AN88</f>
        <v>1.68866719809901</v>
      </c>
      <c r="AO62" s="439">
        <f>CAMCAM!AO88</f>
        <v>1.60833216938039</v>
      </c>
      <c r="AP62" s="439">
        <f>CAMCAM!AP88</f>
        <v>1.49966889131692</v>
      </c>
      <c r="AQ62" s="439">
        <f>CAMCAM!AQ88</f>
        <v>1.5587833264378501</v>
      </c>
      <c r="AR62" s="439">
        <f>CAMCAM!AR88</f>
        <v>1.46885856941365</v>
      </c>
      <c r="AS62" s="439">
        <f>CAMCAM!AS88</f>
        <v>1.4490131046778101</v>
      </c>
      <c r="AT62" s="439">
        <f>CAMCAM!AT88</f>
        <v>1.36817932677689</v>
      </c>
      <c r="AU62" s="439">
        <f>CAMCAM!AU88</f>
        <v>1.28778803129035</v>
      </c>
      <c r="AV62" s="439">
        <f>CAMCAM!AV88</f>
        <v>1.3102932909849001</v>
      </c>
      <c r="AW62" s="439">
        <f>CAMCAM!AW88</f>
        <v>1.1335481396063301</v>
      </c>
      <c r="AX62" s="439">
        <f>CAMCAM!AX88</f>
        <v>1.31079837813935</v>
      </c>
      <c r="AY62" s="439">
        <f>CAMCAM!AY88</f>
        <v>1.2445040750321399</v>
      </c>
      <c r="AZ62" s="439">
        <f>CAMCAM!AZ88</f>
        <v>1.20857462686404</v>
      </c>
      <c r="BA62" s="439">
        <f>CAMCAM!BA88</f>
        <v>1.1702391183002201</v>
      </c>
      <c r="BB62" s="439">
        <f>CAMCAM!BB88</f>
        <v>1.0899046144223199</v>
      </c>
      <c r="BC62" s="439">
        <f>CAMCAM!BC88</f>
        <v>1.04478607144883</v>
      </c>
      <c r="BD62" s="439">
        <f>CAMCAM!BD88</f>
        <v>0.913497795390807</v>
      </c>
      <c r="BE62" s="439">
        <f>CAMCAM!BE88</f>
        <v>1.04460880676287</v>
      </c>
      <c r="BF62" s="439">
        <f>CAMCAM!BF88</f>
        <v>0.93579758206657904</v>
      </c>
      <c r="BG62" s="439">
        <f>CAMCAM!BG88</f>
        <v>0.80218462851250705</v>
      </c>
      <c r="BH62" s="439">
        <f>CAMCAM!BH88</f>
        <v>0.67268841438561</v>
      </c>
      <c r="BI62" s="439">
        <f>CAMCAM!BI88</f>
        <v>0.60143765671715699</v>
      </c>
      <c r="BJ62" s="439">
        <f>CAMCAM!BJ88</f>
        <v>1.13938942302403</v>
      </c>
      <c r="BK62" s="439">
        <f>CAMCAM!BK88</f>
        <v>0.79945710797407799</v>
      </c>
      <c r="BL62" s="439">
        <f>CAMCAM!BL88</f>
        <v>0.76242116830734596</v>
      </c>
      <c r="BM62" s="439">
        <f>CAMCAM!BM88</f>
        <v>0.67029676414829698</v>
      </c>
      <c r="BN62" s="439">
        <f>CAMCAM!BN88</f>
        <v>0.85359012296743597</v>
      </c>
      <c r="BO62" s="439">
        <f>CAMCAM!BO88</f>
        <v>0.70310058611725901</v>
      </c>
      <c r="BP62" s="439">
        <f>CAMCAM!BP88</f>
        <v>0.48997565583935598</v>
      </c>
      <c r="BQ62" s="439">
        <f>CAMCAM!BQ88</f>
        <v>0.57245650294238504</v>
      </c>
      <c r="BR62" s="439">
        <f>CAMCAM!BR88</f>
        <v>0.61254270659832799</v>
      </c>
      <c r="BS62" s="439">
        <f>CAMCAM!BS88</f>
        <v>0.73290346210492097</v>
      </c>
      <c r="BT62" s="439">
        <f>CAMCAM!BT88</f>
        <v>0.50434809547383097</v>
      </c>
      <c r="BU62" s="439">
        <f>CAMCAM!BU88</f>
        <v>0.51719181090719402</v>
      </c>
      <c r="BV62" s="439">
        <f>CAMCAM!BV88</f>
        <v>0.28259852647243999</v>
      </c>
      <c r="BW62" s="439">
        <f>CAMCAM!BW88</f>
        <v>0.40162112390325799</v>
      </c>
      <c r="BX62" s="439">
        <f>CAMCAM!BX88</f>
        <v>0.42673332882113901</v>
      </c>
      <c r="BY62" s="439">
        <f>CAMCAM!BY88</f>
        <v>0.50349307432894197</v>
      </c>
      <c r="BZ62" s="439">
        <f>CAMCAM!BZ88</f>
        <v>0.62924459239994401</v>
      </c>
      <c r="CA62" s="439">
        <f>CAMCAM!CA88</f>
        <v>0.47140198434045399</v>
      </c>
      <c r="CB62" s="439">
        <f>CAMCAM!CB88</f>
        <v>0.31967972062523797</v>
      </c>
      <c r="CC62" s="439">
        <f>CAMCAM!CC88</f>
        <v>0.44510525882819901</v>
      </c>
      <c r="CD62" s="439">
        <f>CAMCAM!CD88</f>
        <v>0.25587008338800099</v>
      </c>
      <c r="CE62" s="439">
        <f>CAMCAM!CE88</f>
        <v>0.28292681251539997</v>
      </c>
      <c r="CF62" s="439">
        <f>CAMCAM!CF88</f>
        <v>0.13829334705695001</v>
      </c>
      <c r="CG62" s="439">
        <f>CAMCAM!CG88</f>
        <v>0.27940958313096498</v>
      </c>
      <c r="CH62" s="439">
        <f>CAMCAM!CH88</f>
        <v>0.26561832351584302</v>
      </c>
      <c r="CI62" s="439">
        <f>CAMCAM!CI88</f>
        <v>0.21372858031408401</v>
      </c>
      <c r="CJ62" s="438"/>
    </row>
    <row r="63" spans="2:92" x14ac:dyDescent="0.35">
      <c r="B63" s="1224" t="s">
        <v>737</v>
      </c>
      <c r="C63" s="573" t="s">
        <v>342</v>
      </c>
      <c r="D63" s="574" t="s">
        <v>738</v>
      </c>
      <c r="E63" s="573" t="s">
        <v>305</v>
      </c>
      <c r="F63" s="575">
        <v>2</v>
      </c>
      <c r="G63" s="438">
        <f>CAMCAM!G41</f>
        <v>91.660000000000011</v>
      </c>
      <c r="H63" s="438">
        <f>CAMCAM!H41</f>
        <v>91.660000000000011</v>
      </c>
      <c r="I63" s="438">
        <f>CAMCAM!I41</f>
        <v>91.660000000000011</v>
      </c>
      <c r="J63" s="438">
        <f>CAMCAM!J41</f>
        <v>91.660000000000011</v>
      </c>
      <c r="K63" s="438">
        <f>CAMCAM!K41</f>
        <v>91.660000000000011</v>
      </c>
      <c r="L63" s="438">
        <f>CAMCAM!L41</f>
        <v>89.660000000000011</v>
      </c>
      <c r="M63" s="438">
        <f>CAMCAM!M41</f>
        <v>88.327847338129516</v>
      </c>
      <c r="N63" s="438">
        <f>CAMCAM!N41</f>
        <v>88.179947338129523</v>
      </c>
      <c r="O63" s="438">
        <f>CAMCAM!O41</f>
        <v>87.672047338129516</v>
      </c>
      <c r="P63" s="438">
        <f>CAMCAM!P41</f>
        <v>87.524147338129524</v>
      </c>
      <c r="Q63" s="438">
        <f>CAMCAM!Q41</f>
        <v>87.376247338129517</v>
      </c>
      <c r="R63" s="438">
        <f>CAMCAM!R41</f>
        <v>69.218347338129519</v>
      </c>
      <c r="S63" s="438">
        <f>CAMCAM!S41</f>
        <v>69.070447338129512</v>
      </c>
      <c r="T63" s="438">
        <f>CAMCAM!T41</f>
        <v>68.922547338129519</v>
      </c>
      <c r="U63" s="438">
        <f>CAMCAM!U41</f>
        <v>68.774647338129512</v>
      </c>
      <c r="V63" s="438">
        <f>CAMCAM!V41</f>
        <v>68.626747338129519</v>
      </c>
      <c r="W63" s="438">
        <f>CAMCAM!W41</f>
        <v>68.478847338129512</v>
      </c>
      <c r="X63" s="438">
        <f>CAMCAM!X41</f>
        <v>68.330947338129519</v>
      </c>
      <c r="Y63" s="438">
        <f>CAMCAM!Y41</f>
        <v>68.183047338129512</v>
      </c>
      <c r="Z63" s="438">
        <f>CAMCAM!Z41</f>
        <v>68.035147338129519</v>
      </c>
      <c r="AA63" s="438">
        <f>CAMCAM!AA41</f>
        <v>67.887247338129512</v>
      </c>
      <c r="AB63" s="438">
        <f>CAMCAM!AB41</f>
        <v>35.850000000000009</v>
      </c>
      <c r="AC63" s="438">
        <f>CAMCAM!AC41</f>
        <v>35.850000000000009</v>
      </c>
      <c r="AD63" s="438">
        <f>CAMCAM!AD41</f>
        <v>35.850000000000009</v>
      </c>
      <c r="AE63" s="438">
        <f>CAMCAM!AE41</f>
        <v>35.850000000000009</v>
      </c>
      <c r="AF63" s="438">
        <f>CAMCAM!AF41</f>
        <v>35.850000000000009</v>
      </c>
      <c r="AG63" s="438">
        <f>CAMCAM!AG41</f>
        <v>35.850000000000009</v>
      </c>
      <c r="AH63" s="438">
        <f>CAMCAM!AH41</f>
        <v>35.850000000000009</v>
      </c>
      <c r="AI63" s="438">
        <f>CAMCAM!AI41</f>
        <v>35.850000000000009</v>
      </c>
      <c r="AJ63" s="438">
        <f>CAMCAM!AJ41</f>
        <v>35.850000000000009</v>
      </c>
      <c r="AK63" s="438">
        <f>CAMCAM!AK41</f>
        <v>35.850000000000009</v>
      </c>
      <c r="AL63" s="438">
        <f>CAMCAM!AL41</f>
        <v>35.850000000000009</v>
      </c>
      <c r="AM63" s="438">
        <f>CAMCAM!AM41</f>
        <v>35.850000000000009</v>
      </c>
      <c r="AN63" s="438">
        <f>CAMCAM!AN41</f>
        <v>35.850000000000009</v>
      </c>
      <c r="AO63" s="438">
        <f>CAMCAM!AO41</f>
        <v>35.850000000000009</v>
      </c>
      <c r="AP63" s="438">
        <f>CAMCAM!AP41</f>
        <v>35.850000000000009</v>
      </c>
      <c r="AQ63" s="438">
        <f>CAMCAM!AQ41</f>
        <v>35.850000000000009</v>
      </c>
      <c r="AR63" s="438">
        <f>CAMCAM!AR41</f>
        <v>35.850000000000009</v>
      </c>
      <c r="AS63" s="438">
        <f>CAMCAM!AS41</f>
        <v>35.850000000000009</v>
      </c>
      <c r="AT63" s="438">
        <f>CAMCAM!AT41</f>
        <v>35.850000000000009</v>
      </c>
      <c r="AU63" s="438">
        <f>CAMCAM!AU41</f>
        <v>35.850000000000009</v>
      </c>
      <c r="AV63" s="438">
        <f>CAMCAM!AV41</f>
        <v>35.850000000000009</v>
      </c>
      <c r="AW63" s="438">
        <f>CAMCAM!AW41</f>
        <v>35.850000000000009</v>
      </c>
      <c r="AX63" s="438">
        <f>CAMCAM!AX41</f>
        <v>35.850000000000009</v>
      </c>
      <c r="AY63" s="438">
        <f>CAMCAM!AY41</f>
        <v>35.850000000000009</v>
      </c>
      <c r="AZ63" s="438">
        <f>CAMCAM!AZ41</f>
        <v>35.850000000000009</v>
      </c>
      <c r="BA63" s="438">
        <f>CAMCAM!BA41</f>
        <v>35.850000000000009</v>
      </c>
      <c r="BB63" s="438">
        <f>CAMCAM!BB41</f>
        <v>35.850000000000009</v>
      </c>
      <c r="BC63" s="438">
        <f>CAMCAM!BC41</f>
        <v>35.850000000000009</v>
      </c>
      <c r="BD63" s="438">
        <f>CAMCAM!BD41</f>
        <v>35.850000000000009</v>
      </c>
      <c r="BE63" s="438">
        <f>CAMCAM!BE41</f>
        <v>35.850000000000009</v>
      </c>
      <c r="BF63" s="438">
        <f>CAMCAM!BF41</f>
        <v>35.850000000000009</v>
      </c>
      <c r="BG63" s="438">
        <f>CAMCAM!BG41</f>
        <v>35.850000000000009</v>
      </c>
      <c r="BH63" s="438">
        <f>CAMCAM!BH41</f>
        <v>35.850000000000009</v>
      </c>
      <c r="BI63" s="438">
        <f>CAMCAM!BI41</f>
        <v>35.850000000000009</v>
      </c>
      <c r="BJ63" s="438">
        <f>CAMCAM!BJ41</f>
        <v>35.850000000000009</v>
      </c>
      <c r="BK63" s="438">
        <f>CAMCAM!BK41</f>
        <v>35.850000000000009</v>
      </c>
      <c r="BL63" s="438">
        <f>CAMCAM!BL41</f>
        <v>35.850000000000009</v>
      </c>
      <c r="BM63" s="438">
        <f>CAMCAM!BM41</f>
        <v>35.850000000000009</v>
      </c>
      <c r="BN63" s="438">
        <f>CAMCAM!BN41</f>
        <v>35.850000000000009</v>
      </c>
      <c r="BO63" s="438">
        <f>CAMCAM!BO41</f>
        <v>35.850000000000009</v>
      </c>
      <c r="BP63" s="438">
        <f>CAMCAM!BP41</f>
        <v>35.850000000000009</v>
      </c>
      <c r="BQ63" s="438">
        <f>CAMCAM!BQ41</f>
        <v>35.850000000000009</v>
      </c>
      <c r="BR63" s="438">
        <f>CAMCAM!BR41</f>
        <v>35.850000000000009</v>
      </c>
      <c r="BS63" s="438">
        <f>CAMCAM!BS41</f>
        <v>35.850000000000009</v>
      </c>
      <c r="BT63" s="438">
        <f>CAMCAM!BT41</f>
        <v>35.850000000000009</v>
      </c>
      <c r="BU63" s="438">
        <f>CAMCAM!BU41</f>
        <v>35.850000000000009</v>
      </c>
      <c r="BV63" s="438">
        <f>CAMCAM!BV41</f>
        <v>35.850000000000009</v>
      </c>
      <c r="BW63" s="438">
        <f>CAMCAM!BW41</f>
        <v>35.850000000000009</v>
      </c>
      <c r="BX63" s="438">
        <f>CAMCAM!BX41</f>
        <v>35.850000000000009</v>
      </c>
      <c r="BY63" s="438">
        <f>CAMCAM!BY41</f>
        <v>35.850000000000009</v>
      </c>
      <c r="BZ63" s="438">
        <f>CAMCAM!BZ41</f>
        <v>35.850000000000009</v>
      </c>
      <c r="CA63" s="438">
        <f>CAMCAM!CA41</f>
        <v>35.850000000000009</v>
      </c>
      <c r="CB63" s="438">
        <f>CAMCAM!CB41</f>
        <v>35.850000000000009</v>
      </c>
      <c r="CC63" s="438">
        <f>CAMCAM!CC41</f>
        <v>35.850000000000009</v>
      </c>
      <c r="CD63" s="438">
        <f>CAMCAM!CD41</f>
        <v>35.850000000000009</v>
      </c>
      <c r="CE63" s="438">
        <f>CAMCAM!CE41</f>
        <v>35.850000000000009</v>
      </c>
      <c r="CF63" s="438">
        <f>CAMCAM!CF41</f>
        <v>35.850000000000009</v>
      </c>
      <c r="CG63" s="438">
        <f>CAMCAM!CG41</f>
        <v>35.850000000000009</v>
      </c>
      <c r="CH63" s="438">
        <f>CAMCAM!CH41</f>
        <v>35.850000000000009</v>
      </c>
      <c r="CI63" s="438">
        <f>CAMCAM!CI41</f>
        <v>35.850000000000009</v>
      </c>
      <c r="CJ63" s="438"/>
    </row>
    <row r="64" spans="2:92" x14ac:dyDescent="0.35">
      <c r="B64" s="1224" t="s">
        <v>739</v>
      </c>
      <c r="C64" s="573" t="s">
        <v>345</v>
      </c>
      <c r="D64" s="574" t="s">
        <v>740</v>
      </c>
      <c r="E64" s="573" t="s">
        <v>305</v>
      </c>
      <c r="F64" s="575">
        <v>2</v>
      </c>
      <c r="G64" s="438">
        <f>CAMCAM!G42</f>
        <v>91.100000000000009</v>
      </c>
      <c r="H64" s="438">
        <f>CAMCAM!H42</f>
        <v>91.100000000000009</v>
      </c>
      <c r="I64" s="438">
        <f>CAMCAM!I42</f>
        <v>91.100000000000009</v>
      </c>
      <c r="J64" s="438">
        <f>CAMCAM!J42</f>
        <v>91.100000000000009</v>
      </c>
      <c r="K64" s="438">
        <f>CAMCAM!K42</f>
        <v>91.100000000000009</v>
      </c>
      <c r="L64" s="438">
        <f>CAMCAM!L42</f>
        <v>89.100000000000009</v>
      </c>
      <c r="M64" s="438">
        <f>CAMCAM!M42</f>
        <v>87.767847338129513</v>
      </c>
      <c r="N64" s="438">
        <f>CAMCAM!N42</f>
        <v>87.619947338129521</v>
      </c>
      <c r="O64" s="438">
        <f>CAMCAM!O42</f>
        <v>87.112047338129514</v>
      </c>
      <c r="P64" s="438">
        <f>CAMCAM!P42</f>
        <v>86.964147338129521</v>
      </c>
      <c r="Q64" s="438">
        <f>CAMCAM!Q42</f>
        <v>86.816247338129514</v>
      </c>
      <c r="R64" s="438">
        <f>CAMCAM!R42</f>
        <v>68.658347338129516</v>
      </c>
      <c r="S64" s="438">
        <f>CAMCAM!S42</f>
        <v>68.510447338129509</v>
      </c>
      <c r="T64" s="438">
        <f>CAMCAM!T42</f>
        <v>68.362547338129517</v>
      </c>
      <c r="U64" s="438">
        <f>CAMCAM!U42</f>
        <v>68.21464733812951</v>
      </c>
      <c r="V64" s="438">
        <f>CAMCAM!V42</f>
        <v>68.066747338129517</v>
      </c>
      <c r="W64" s="438">
        <f>CAMCAM!W42</f>
        <v>67.91884733812951</v>
      </c>
      <c r="X64" s="438">
        <f>CAMCAM!X42</f>
        <v>67.770947338129517</v>
      </c>
      <c r="Y64" s="438">
        <f>CAMCAM!Y42</f>
        <v>67.62304733812951</v>
      </c>
      <c r="Z64" s="438">
        <f>CAMCAM!Z42</f>
        <v>67.475147338129517</v>
      </c>
      <c r="AA64" s="438">
        <f>CAMCAM!AA42</f>
        <v>67.32724733812951</v>
      </c>
      <c r="AB64" s="438">
        <f>CAMCAM!AB42</f>
        <v>35.290000000000006</v>
      </c>
      <c r="AC64" s="438">
        <f>CAMCAM!AC42</f>
        <v>35.290000000000006</v>
      </c>
      <c r="AD64" s="438">
        <f>CAMCAM!AD42</f>
        <v>35.290000000000006</v>
      </c>
      <c r="AE64" s="438">
        <f>CAMCAM!AE42</f>
        <v>35.290000000000006</v>
      </c>
      <c r="AF64" s="438">
        <f>CAMCAM!AF42</f>
        <v>35.290000000000006</v>
      </c>
      <c r="AG64" s="438">
        <f>CAMCAM!AG42</f>
        <v>35.290000000000006</v>
      </c>
      <c r="AH64" s="438">
        <f>CAMCAM!AH42</f>
        <v>35.290000000000006</v>
      </c>
      <c r="AI64" s="438">
        <f>CAMCAM!AI42</f>
        <v>35.290000000000006</v>
      </c>
      <c r="AJ64" s="438">
        <f>CAMCAM!AJ42</f>
        <v>35.290000000000006</v>
      </c>
      <c r="AK64" s="438">
        <f>CAMCAM!AK42</f>
        <v>35.290000000000006</v>
      </c>
      <c r="AL64" s="438">
        <f>CAMCAM!AL42</f>
        <v>35.290000000000006</v>
      </c>
      <c r="AM64" s="438">
        <f>CAMCAM!AM42</f>
        <v>35.290000000000006</v>
      </c>
      <c r="AN64" s="438">
        <f>CAMCAM!AN42</f>
        <v>35.290000000000006</v>
      </c>
      <c r="AO64" s="438">
        <f>CAMCAM!AO42</f>
        <v>35.290000000000006</v>
      </c>
      <c r="AP64" s="438">
        <f>CAMCAM!AP42</f>
        <v>35.290000000000006</v>
      </c>
      <c r="AQ64" s="438">
        <f>CAMCAM!AQ42</f>
        <v>35.290000000000006</v>
      </c>
      <c r="AR64" s="438">
        <f>CAMCAM!AR42</f>
        <v>35.290000000000006</v>
      </c>
      <c r="AS64" s="438">
        <f>CAMCAM!AS42</f>
        <v>35.290000000000006</v>
      </c>
      <c r="AT64" s="438">
        <f>CAMCAM!AT42</f>
        <v>35.290000000000006</v>
      </c>
      <c r="AU64" s="438">
        <f>CAMCAM!AU42</f>
        <v>35.290000000000006</v>
      </c>
      <c r="AV64" s="438">
        <f>CAMCAM!AV42</f>
        <v>35.290000000000006</v>
      </c>
      <c r="AW64" s="438">
        <f>CAMCAM!AW42</f>
        <v>35.290000000000006</v>
      </c>
      <c r="AX64" s="438">
        <f>CAMCAM!AX42</f>
        <v>35.290000000000006</v>
      </c>
      <c r="AY64" s="438">
        <f>CAMCAM!AY42</f>
        <v>35.290000000000006</v>
      </c>
      <c r="AZ64" s="438">
        <f>CAMCAM!AZ42</f>
        <v>35.290000000000006</v>
      </c>
      <c r="BA64" s="438">
        <f>CAMCAM!BA42</f>
        <v>35.290000000000006</v>
      </c>
      <c r="BB64" s="438">
        <f>CAMCAM!BB42</f>
        <v>35.290000000000006</v>
      </c>
      <c r="BC64" s="438">
        <f>CAMCAM!BC42</f>
        <v>35.290000000000006</v>
      </c>
      <c r="BD64" s="438">
        <f>CAMCAM!BD42</f>
        <v>35.290000000000006</v>
      </c>
      <c r="BE64" s="438">
        <f>CAMCAM!BE42</f>
        <v>35.290000000000006</v>
      </c>
      <c r="BF64" s="438">
        <f>CAMCAM!BF42</f>
        <v>35.290000000000006</v>
      </c>
      <c r="BG64" s="438">
        <f>CAMCAM!BG42</f>
        <v>35.290000000000006</v>
      </c>
      <c r="BH64" s="438">
        <f>CAMCAM!BH42</f>
        <v>35.290000000000006</v>
      </c>
      <c r="BI64" s="438">
        <f>CAMCAM!BI42</f>
        <v>35.290000000000006</v>
      </c>
      <c r="BJ64" s="438">
        <f>CAMCAM!BJ42</f>
        <v>35.290000000000006</v>
      </c>
      <c r="BK64" s="438">
        <f>CAMCAM!BK42</f>
        <v>35.290000000000006</v>
      </c>
      <c r="BL64" s="438">
        <f>CAMCAM!BL42</f>
        <v>35.290000000000006</v>
      </c>
      <c r="BM64" s="438">
        <f>CAMCAM!BM42</f>
        <v>35.290000000000006</v>
      </c>
      <c r="BN64" s="438">
        <f>CAMCAM!BN42</f>
        <v>35.290000000000006</v>
      </c>
      <c r="BO64" s="438">
        <f>CAMCAM!BO42</f>
        <v>35.290000000000006</v>
      </c>
      <c r="BP64" s="438">
        <f>CAMCAM!BP42</f>
        <v>35.290000000000006</v>
      </c>
      <c r="BQ64" s="438">
        <f>CAMCAM!BQ42</f>
        <v>35.290000000000006</v>
      </c>
      <c r="BR64" s="438">
        <f>CAMCAM!BR42</f>
        <v>35.290000000000006</v>
      </c>
      <c r="BS64" s="438">
        <f>CAMCAM!BS42</f>
        <v>35.290000000000006</v>
      </c>
      <c r="BT64" s="438">
        <f>CAMCAM!BT42</f>
        <v>35.290000000000006</v>
      </c>
      <c r="BU64" s="438">
        <f>CAMCAM!BU42</f>
        <v>35.290000000000006</v>
      </c>
      <c r="BV64" s="438">
        <f>CAMCAM!BV42</f>
        <v>35.290000000000006</v>
      </c>
      <c r="BW64" s="438">
        <f>CAMCAM!BW42</f>
        <v>35.290000000000006</v>
      </c>
      <c r="BX64" s="438">
        <f>CAMCAM!BX42</f>
        <v>35.290000000000006</v>
      </c>
      <c r="BY64" s="438">
        <f>CAMCAM!BY42</f>
        <v>35.290000000000006</v>
      </c>
      <c r="BZ64" s="438">
        <f>CAMCAM!BZ42</f>
        <v>35.290000000000006</v>
      </c>
      <c r="CA64" s="438">
        <f>CAMCAM!CA42</f>
        <v>35.290000000000006</v>
      </c>
      <c r="CB64" s="438">
        <f>CAMCAM!CB42</f>
        <v>35.290000000000006</v>
      </c>
      <c r="CC64" s="438">
        <f>CAMCAM!CC42</f>
        <v>35.290000000000006</v>
      </c>
      <c r="CD64" s="438">
        <f>CAMCAM!CD42</f>
        <v>35.290000000000006</v>
      </c>
      <c r="CE64" s="438">
        <f>CAMCAM!CE42</f>
        <v>35.290000000000006</v>
      </c>
      <c r="CF64" s="438">
        <f>CAMCAM!CF42</f>
        <v>35.290000000000006</v>
      </c>
      <c r="CG64" s="438">
        <f>CAMCAM!CG42</f>
        <v>35.290000000000006</v>
      </c>
      <c r="CH64" s="438">
        <f>CAMCAM!CH42</f>
        <v>35.290000000000006</v>
      </c>
      <c r="CI64" s="438">
        <f>CAMCAM!CI42</f>
        <v>35.290000000000006</v>
      </c>
      <c r="CJ64" s="438"/>
    </row>
    <row r="65" spans="2:88" ht="14.5" thickBot="1" x14ac:dyDescent="0.4">
      <c r="B65" s="1225" t="s">
        <v>741</v>
      </c>
      <c r="C65" s="1226" t="s">
        <v>471</v>
      </c>
      <c r="D65" s="1227" t="s">
        <v>742</v>
      </c>
      <c r="E65" s="1226" t="s">
        <v>305</v>
      </c>
      <c r="F65" s="1228">
        <v>2</v>
      </c>
      <c r="G65" s="1229">
        <f>CAMCAM!G91</f>
        <v>3.1153722900000105</v>
      </c>
      <c r="H65" s="1229">
        <f>CAMCAM!H91</f>
        <v>5.511812599999999</v>
      </c>
      <c r="I65" s="1229">
        <f>CAMCAM!I91</f>
        <v>2.8443772297588774</v>
      </c>
      <c r="J65" s="1229">
        <f>CAMCAM!J91</f>
        <v>2.5427838145545203</v>
      </c>
      <c r="K65" s="1229">
        <f>CAMCAM!K91</f>
        <v>2.9324933067061165</v>
      </c>
      <c r="L65" s="1229">
        <f>CAMCAM!L91</f>
        <v>-0.70673330198036144</v>
      </c>
      <c r="M65" s="1229">
        <f>CAMCAM!M91</f>
        <v>-3.5186832317408179</v>
      </c>
      <c r="N65" s="1229">
        <f>CAMCAM!N91</f>
        <v>-4.9520279791606585</v>
      </c>
      <c r="O65" s="1229">
        <f>CAMCAM!O91</f>
        <v>-7.1250937421310159</v>
      </c>
      <c r="P65" s="1229">
        <f>CAMCAM!P91</f>
        <v>-8.4450118645063821</v>
      </c>
      <c r="Q65" s="1229">
        <f>CAMCAM!Q91</f>
        <v>-8.6050814876826873</v>
      </c>
      <c r="R65" s="1229">
        <f>CAMCAM!R91</f>
        <v>-27.73893227791368</v>
      </c>
      <c r="S65" s="1229">
        <f>CAMCAM!S91</f>
        <v>-28.876438632294391</v>
      </c>
      <c r="T65" s="1229">
        <f>CAMCAM!T91</f>
        <v>-29.817197737928161</v>
      </c>
      <c r="U65" s="1229">
        <f>CAMCAM!U91</f>
        <v>-31.008994487938683</v>
      </c>
      <c r="V65" s="1229">
        <f>CAMCAM!V91</f>
        <v>-30.608228973100196</v>
      </c>
      <c r="W65" s="1229">
        <f>CAMCAM!W91</f>
        <v>-31.450411598993984</v>
      </c>
      <c r="X65" s="1229">
        <f>CAMCAM!X91</f>
        <v>-32.42275709190821</v>
      </c>
      <c r="Y65" s="1229">
        <f>CAMCAM!Y91</f>
        <v>-33.355908363713517</v>
      </c>
      <c r="Z65" s="1229">
        <f>CAMCAM!Z91</f>
        <v>-34.219783379699656</v>
      </c>
      <c r="AA65" s="1229">
        <f>CAMCAM!AA91</f>
        <v>-34.612824607473293</v>
      </c>
      <c r="AB65" s="1229">
        <f>CAMCAM!AB91</f>
        <v>-66.832349726723052</v>
      </c>
      <c r="AC65" s="1229">
        <f>CAMCAM!AC91</f>
        <v>-67.187678757045532</v>
      </c>
      <c r="AD65" s="1229">
        <f>CAMCAM!AD91</f>
        <v>-67.589401487326228</v>
      </c>
      <c r="AE65" s="1229">
        <f>CAMCAM!AE91</f>
        <v>-67.801787566815236</v>
      </c>
      <c r="AF65" s="1229">
        <f>CAMCAM!AF91</f>
        <v>-68.06210253166735</v>
      </c>
      <c r="AG65" s="1229">
        <f>CAMCAM!AG91</f>
        <v>-68.382432274785117</v>
      </c>
      <c r="AH65" s="1229">
        <f>CAMCAM!AH91</f>
        <v>-68.505496177271766</v>
      </c>
      <c r="AI65" s="1229">
        <f>CAMCAM!AI91</f>
        <v>-68.702554776617802</v>
      </c>
      <c r="AJ65" s="1229">
        <f>CAMCAM!AJ91</f>
        <v>-68.922356814448548</v>
      </c>
      <c r="AK65" s="1229">
        <f>CAMCAM!AK91</f>
        <v>-69.02007977206847</v>
      </c>
      <c r="AL65" s="1229">
        <f>CAMCAM!AL91</f>
        <v>-69.191308720938196</v>
      </c>
      <c r="AM65" s="1229">
        <f>CAMCAM!AM91</f>
        <v>-69.275061972283538</v>
      </c>
      <c r="AN65" s="1229">
        <f>CAMCAM!AN91</f>
        <v>-69.481670453098999</v>
      </c>
      <c r="AO65" s="1229">
        <f>CAMCAM!AO91</f>
        <v>-69.513983394380389</v>
      </c>
      <c r="AP65" s="1229">
        <f>CAMCAM!AP91</f>
        <v>-69.518127253316919</v>
      </c>
      <c r="AQ65" s="1229">
        <f>CAMCAM!AQ91</f>
        <v>-69.689982678437843</v>
      </c>
      <c r="AR65" s="1229">
        <f>CAMCAM!AR91</f>
        <v>-69.706965459413652</v>
      </c>
      <c r="AS65" s="1229">
        <f>CAMCAM!AS91</f>
        <v>-69.789396632677807</v>
      </c>
      <c r="AT65" s="1229">
        <f>CAMCAM!AT91</f>
        <v>-69.810970174776898</v>
      </c>
      <c r="AU65" s="1229">
        <f>CAMCAM!AU91</f>
        <v>-69.830537722290345</v>
      </c>
      <c r="AV65" s="1229">
        <f>CAMCAM!AV91</f>
        <v>-69.951819267984902</v>
      </c>
      <c r="AW65" s="1229">
        <f>CAMCAM!AW91</f>
        <v>-69.874277306606331</v>
      </c>
      <c r="AX65" s="1229">
        <f>CAMCAM!AX91</f>
        <v>-70.150798834139351</v>
      </c>
      <c r="AY65" s="1229">
        <f>CAMCAM!AY91</f>
        <v>-70.185658524032135</v>
      </c>
      <c r="AZ65" s="1229">
        <f>CAMCAM!AZ91</f>
        <v>-70.253071077864035</v>
      </c>
      <c r="BA65" s="1229">
        <f>CAMCAM!BA91</f>
        <v>-70.320021408300221</v>
      </c>
      <c r="BB65" s="1229">
        <f>CAMCAM!BB91</f>
        <v>-70.345184090422322</v>
      </c>
      <c r="BC65" s="1229">
        <f>CAMCAM!BC91</f>
        <v>-70.408158816448832</v>
      </c>
      <c r="BD65" s="1229">
        <f>CAMCAM!BD91</f>
        <v>-70.386781558390808</v>
      </c>
      <c r="BE65" s="1229">
        <f>CAMCAM!BE91</f>
        <v>-70.630009745762862</v>
      </c>
      <c r="BF65" s="1229">
        <f>CAMCAM!BF91</f>
        <v>-70.637565197066579</v>
      </c>
      <c r="BG65" s="1229">
        <f>CAMCAM!BG91</f>
        <v>-70.624062651512503</v>
      </c>
      <c r="BH65" s="1229">
        <f>CAMCAM!BH91</f>
        <v>-70.618687625385604</v>
      </c>
      <c r="BI65" s="1229">
        <f>CAMCAM!BI91</f>
        <v>-70.674123417717155</v>
      </c>
      <c r="BJ65" s="1229">
        <f>CAMCAM!BJ91</f>
        <v>-71.341838561024019</v>
      </c>
      <c r="BK65" s="1229">
        <f>CAMCAM!BK91</f>
        <v>-71.134563314974073</v>
      </c>
      <c r="BL65" s="1229">
        <f>CAMCAM!BL91</f>
        <v>-71.234015512307337</v>
      </c>
      <c r="BM65" s="1229">
        <f>CAMCAM!BM91</f>
        <v>-71.283461228148298</v>
      </c>
      <c r="BN65" s="1229">
        <f>CAMCAM!BN91</f>
        <v>-71.612715118967429</v>
      </c>
      <c r="BO65" s="1229">
        <f>CAMCAM!BO91</f>
        <v>-71.613869399117249</v>
      </c>
      <c r="BP65" s="1229">
        <f>CAMCAM!BP91</f>
        <v>-71.557178059839373</v>
      </c>
      <c r="BQ65" s="1229">
        <f>CAMCAM!BQ91</f>
        <v>-71.800862696942374</v>
      </c>
      <c r="BR65" s="1229">
        <f>CAMCAM!BR91</f>
        <v>-72.004472172598327</v>
      </c>
      <c r="BS65" s="1229">
        <f>CAMCAM!BS91</f>
        <v>-72.291458452104905</v>
      </c>
      <c r="BT65" s="1229">
        <f>CAMCAM!BT91</f>
        <v>-72.232239653473826</v>
      </c>
      <c r="BU65" s="1229">
        <f>CAMCAM!BU91</f>
        <v>-72.417802735907188</v>
      </c>
      <c r="BV65" s="1229">
        <f>CAMCAM!BV91</f>
        <v>-72.356711299472451</v>
      </c>
      <c r="BW65" s="1229">
        <f>CAMCAM!BW91</f>
        <v>-72.651127210903255</v>
      </c>
      <c r="BX65" s="1229">
        <f>CAMCAM!BX91</f>
        <v>-72.853341339821142</v>
      </c>
      <c r="BY65" s="1229">
        <f>CAMCAM!BY91</f>
        <v>-73.109367072328936</v>
      </c>
      <c r="BZ65" s="1229">
        <f>CAMCAM!BZ91</f>
        <v>-73.415246384399936</v>
      </c>
      <c r="CA65" s="1229">
        <f>CAMCAM!CA91</f>
        <v>-73.438584756340447</v>
      </c>
      <c r="CB65" s="1229">
        <f>CAMCAM!CB91</f>
        <v>-73.467207697625227</v>
      </c>
      <c r="CC65" s="1229">
        <f>CAMCAM!CC91</f>
        <v>-73.773575450828204</v>
      </c>
      <c r="CD65" s="1229">
        <f>CAMCAM!CD91</f>
        <v>-73.764428711387993</v>
      </c>
      <c r="CE65" s="1229">
        <f>CAMCAM!CE91</f>
        <v>-73.970678767515395</v>
      </c>
      <c r="CF65" s="1229">
        <f>CAMCAM!CF91</f>
        <v>-74.003451914056939</v>
      </c>
      <c r="CG65" s="1229">
        <f>CAMCAM!CG91</f>
        <v>-74.320700292130965</v>
      </c>
      <c r="CH65" s="1229">
        <f>CAMCAM!CH91</f>
        <v>-74.404074090515834</v>
      </c>
      <c r="CI65" s="1229">
        <f>CAMCAM!CI91</f>
        <v>-78.512184347314076</v>
      </c>
      <c r="CJ65" s="438"/>
    </row>
    <row r="66" spans="2:88" ht="14.5" thickBot="1" x14ac:dyDescent="0.4">
      <c r="C66" s="22"/>
    </row>
    <row r="67" spans="2:88" ht="58.5" customHeight="1" thickBot="1" x14ac:dyDescent="0.4">
      <c r="B67" s="468" t="s">
        <v>743</v>
      </c>
      <c r="C67" s="49"/>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row>
    <row r="68" spans="2:88" ht="14.5" thickBot="1" x14ac:dyDescent="0.4">
      <c r="B68" s="1214" t="s">
        <v>65</v>
      </c>
      <c r="C68" s="1215" t="s">
        <v>218</v>
      </c>
      <c r="D68" s="1215" t="s">
        <v>66</v>
      </c>
      <c r="E68" s="1215" t="s">
        <v>219</v>
      </c>
      <c r="F68" s="1215" t="s">
        <v>220</v>
      </c>
      <c r="G68" s="1214" t="s">
        <v>221</v>
      </c>
      <c r="H68" s="1215" t="s">
        <v>222</v>
      </c>
      <c r="I68" s="1215" t="s">
        <v>223</v>
      </c>
      <c r="J68" s="1215" t="s">
        <v>224</v>
      </c>
      <c r="K68" s="1215" t="s">
        <v>225</v>
      </c>
      <c r="L68" s="1215" t="s">
        <v>226</v>
      </c>
      <c r="M68" s="1215" t="s">
        <v>227</v>
      </c>
      <c r="N68" s="1215" t="s">
        <v>228</v>
      </c>
      <c r="O68" s="1215" t="s">
        <v>229</v>
      </c>
      <c r="P68" s="1215" t="s">
        <v>230</v>
      </c>
      <c r="Q68" s="1215" t="s">
        <v>231</v>
      </c>
      <c r="R68" s="1215" t="s">
        <v>232</v>
      </c>
      <c r="S68" s="1215" t="s">
        <v>233</v>
      </c>
      <c r="T68" s="1215" t="s">
        <v>234</v>
      </c>
      <c r="U68" s="1215" t="s">
        <v>235</v>
      </c>
      <c r="V68" s="1215" t="s">
        <v>236</v>
      </c>
      <c r="W68" s="1215" t="s">
        <v>237</v>
      </c>
      <c r="X68" s="1215" t="s">
        <v>238</v>
      </c>
      <c r="Y68" s="1215" t="s">
        <v>239</v>
      </c>
      <c r="Z68" s="1215" t="s">
        <v>240</v>
      </c>
      <c r="AA68" s="1215" t="s">
        <v>241</v>
      </c>
      <c r="AB68" s="1215" t="s">
        <v>242</v>
      </c>
      <c r="AC68" s="1215" t="s">
        <v>243</v>
      </c>
      <c r="AD68" s="1215" t="s">
        <v>244</v>
      </c>
      <c r="AE68" s="1215" t="s">
        <v>245</v>
      </c>
      <c r="AF68" s="1215" t="s">
        <v>246</v>
      </c>
      <c r="AG68" s="1215" t="s">
        <v>247</v>
      </c>
      <c r="AH68" s="1215" t="s">
        <v>248</v>
      </c>
      <c r="AI68" s="1215" t="s">
        <v>249</v>
      </c>
      <c r="AJ68" s="1215" t="s">
        <v>250</v>
      </c>
      <c r="AK68" s="1215" t="s">
        <v>251</v>
      </c>
      <c r="AL68" s="1215" t="s">
        <v>252</v>
      </c>
      <c r="AM68" s="1215" t="s">
        <v>253</v>
      </c>
      <c r="AN68" s="1215" t="s">
        <v>254</v>
      </c>
      <c r="AO68" s="1215" t="s">
        <v>255</v>
      </c>
      <c r="AP68" s="1215" t="s">
        <v>256</v>
      </c>
      <c r="AQ68" s="1215" t="s">
        <v>257</v>
      </c>
      <c r="AR68" s="1215" t="s">
        <v>258</v>
      </c>
      <c r="AS68" s="1215" t="s">
        <v>259</v>
      </c>
      <c r="AT68" s="1215" t="s">
        <v>260</v>
      </c>
      <c r="AU68" s="1215" t="s">
        <v>261</v>
      </c>
      <c r="AV68" s="1215" t="s">
        <v>262</v>
      </c>
      <c r="AW68" s="1215" t="s">
        <v>263</v>
      </c>
      <c r="AX68" s="1215" t="s">
        <v>264</v>
      </c>
      <c r="AY68" s="1215" t="s">
        <v>265</v>
      </c>
      <c r="AZ68" s="1215" t="s">
        <v>266</v>
      </c>
      <c r="BA68" s="1215" t="s">
        <v>267</v>
      </c>
      <c r="BB68" s="1215" t="s">
        <v>268</v>
      </c>
      <c r="BC68" s="1215" t="s">
        <v>269</v>
      </c>
      <c r="BD68" s="1215" t="s">
        <v>270</v>
      </c>
      <c r="BE68" s="1215" t="s">
        <v>271</v>
      </c>
      <c r="BF68" s="1215" t="s">
        <v>272</v>
      </c>
      <c r="BG68" s="1215" t="s">
        <v>273</v>
      </c>
      <c r="BH68" s="1215" t="s">
        <v>274</v>
      </c>
      <c r="BI68" s="1215" t="s">
        <v>275</v>
      </c>
      <c r="BJ68" s="1215" t="s">
        <v>276</v>
      </c>
      <c r="BK68" s="1215" t="s">
        <v>277</v>
      </c>
      <c r="BL68" s="1215" t="s">
        <v>278</v>
      </c>
      <c r="BM68" s="1215" t="s">
        <v>279</v>
      </c>
      <c r="BN68" s="1215" t="s">
        <v>280</v>
      </c>
      <c r="BO68" s="1215" t="s">
        <v>281</v>
      </c>
      <c r="BP68" s="1215" t="s">
        <v>282</v>
      </c>
      <c r="BQ68" s="1215" t="s">
        <v>283</v>
      </c>
      <c r="BR68" s="1215" t="s">
        <v>284</v>
      </c>
      <c r="BS68" s="1215" t="s">
        <v>285</v>
      </c>
      <c r="BT68" s="1215" t="s">
        <v>286</v>
      </c>
      <c r="BU68" s="1215" t="s">
        <v>287</v>
      </c>
      <c r="BV68" s="1215" t="s">
        <v>288</v>
      </c>
      <c r="BW68" s="1215" t="s">
        <v>289</v>
      </c>
      <c r="BX68" s="1215" t="s">
        <v>290</v>
      </c>
      <c r="BY68" s="1215" t="s">
        <v>291</v>
      </c>
      <c r="BZ68" s="1215" t="s">
        <v>292</v>
      </c>
      <c r="CA68" s="1215" t="s">
        <v>293</v>
      </c>
      <c r="CB68" s="1215" t="s">
        <v>294</v>
      </c>
      <c r="CC68" s="1215" t="s">
        <v>295</v>
      </c>
      <c r="CD68" s="1215" t="s">
        <v>296</v>
      </c>
      <c r="CE68" s="1215" t="s">
        <v>297</v>
      </c>
      <c r="CF68" s="1215" t="s">
        <v>298</v>
      </c>
      <c r="CG68" s="1215" t="s">
        <v>299</v>
      </c>
      <c r="CH68" s="1215" t="s">
        <v>300</v>
      </c>
      <c r="CI68" s="1215" t="s">
        <v>301</v>
      </c>
      <c r="CJ68" s="1245" t="s">
        <v>658</v>
      </c>
    </row>
    <row r="69" spans="2:88" ht="14.5" thickBot="1" x14ac:dyDescent="0.4">
      <c r="B69" s="1216" t="s">
        <v>744</v>
      </c>
      <c r="C69" s="568" t="s">
        <v>721</v>
      </c>
      <c r="D69" s="569" t="s">
        <v>745</v>
      </c>
      <c r="E69" s="568" t="s">
        <v>305</v>
      </c>
      <c r="F69" s="570">
        <v>2</v>
      </c>
      <c r="G69" s="435">
        <f>CAMCAM!G130</f>
        <v>4.8</v>
      </c>
      <c r="H69" s="435">
        <f>CAMCAM!H130</f>
        <v>4.8</v>
      </c>
      <c r="I69" s="435">
        <f>CAMCAM!I130</f>
        <v>4.8</v>
      </c>
      <c r="J69" s="435">
        <f>CAMCAM!J130</f>
        <v>4.8</v>
      </c>
      <c r="K69" s="435">
        <f>CAMCAM!K130</f>
        <v>4.8</v>
      </c>
      <c r="L69" s="435">
        <f>CAMCAM!L130</f>
        <v>4.8</v>
      </c>
      <c r="M69" s="435">
        <f>CAMCAM!M130</f>
        <v>4.9000000000000004</v>
      </c>
      <c r="N69" s="435">
        <f>CAMCAM!N130</f>
        <v>4.9000000000000004</v>
      </c>
      <c r="O69" s="435">
        <f>CAMCAM!O130</f>
        <v>4.9000000000000004</v>
      </c>
      <c r="P69" s="435">
        <f>CAMCAM!P130</f>
        <v>4.9000000000000004</v>
      </c>
      <c r="Q69" s="435">
        <f>CAMCAM!Q130</f>
        <v>4.9000000000000004</v>
      </c>
      <c r="R69" s="435">
        <f>CAMCAM!R130</f>
        <v>4.9000000000000004</v>
      </c>
      <c r="S69" s="435">
        <f>CAMCAM!S130</f>
        <v>4.9000000000000004</v>
      </c>
      <c r="T69" s="435">
        <f>CAMCAM!T130</f>
        <v>4.9000000000000004</v>
      </c>
      <c r="U69" s="435">
        <f>CAMCAM!U130</f>
        <v>4.9000000000000004</v>
      </c>
      <c r="V69" s="435">
        <f>CAMCAM!V130</f>
        <v>4.9000000000000004</v>
      </c>
      <c r="W69" s="435">
        <f>CAMCAM!W130</f>
        <v>4.9000000000000004</v>
      </c>
      <c r="X69" s="435">
        <f>CAMCAM!X130</f>
        <v>4.9000000000000004</v>
      </c>
      <c r="Y69" s="435">
        <f>CAMCAM!Y130</f>
        <v>4.9000000000000004</v>
      </c>
      <c r="Z69" s="435">
        <f>CAMCAM!Z130</f>
        <v>4.9000000000000004</v>
      </c>
      <c r="AA69" s="435">
        <f>CAMCAM!AA130</f>
        <v>4.9000000000000004</v>
      </c>
      <c r="AB69" s="435">
        <f>CAMCAM!AB130</f>
        <v>4.9000000000000004</v>
      </c>
      <c r="AC69" s="435">
        <f>CAMCAM!AC130</f>
        <v>4.9000000000000004</v>
      </c>
      <c r="AD69" s="435">
        <f>CAMCAM!AD130</f>
        <v>4.9000000000000004</v>
      </c>
      <c r="AE69" s="435">
        <f>CAMCAM!AE130</f>
        <v>4.9000000000000004</v>
      </c>
      <c r="AF69" s="435">
        <f>CAMCAM!AF130</f>
        <v>4.9000000000000004</v>
      </c>
      <c r="AG69" s="435">
        <f>CAMCAM!AG130</f>
        <v>4.9000000000000004</v>
      </c>
      <c r="AH69" s="435">
        <f>CAMCAM!AH130</f>
        <v>4.9000000000000004</v>
      </c>
      <c r="AI69" s="435">
        <f>CAMCAM!AI130</f>
        <v>4.9000000000000004</v>
      </c>
      <c r="AJ69" s="435">
        <f>CAMCAM!AJ130</f>
        <v>4.9000000000000004</v>
      </c>
      <c r="AK69" s="435">
        <f>CAMCAM!AK130</f>
        <v>4.9000000000000004</v>
      </c>
      <c r="AL69" s="435">
        <f>CAMCAM!AL130</f>
        <v>4.9000000000000004</v>
      </c>
      <c r="AM69" s="435">
        <f>CAMCAM!AM130</f>
        <v>4.9000000000000004</v>
      </c>
      <c r="AN69" s="435">
        <f>CAMCAM!AN130</f>
        <v>4.9000000000000004</v>
      </c>
      <c r="AO69" s="435">
        <f>CAMCAM!AO130</f>
        <v>4.9000000000000004</v>
      </c>
      <c r="AP69" s="435">
        <f>CAMCAM!AP130</f>
        <v>4.9000000000000004</v>
      </c>
      <c r="AQ69" s="435">
        <f>CAMCAM!AQ130</f>
        <v>4.9000000000000004</v>
      </c>
      <c r="AR69" s="435">
        <f>CAMCAM!AR130</f>
        <v>4.9000000000000004</v>
      </c>
      <c r="AS69" s="435">
        <f>CAMCAM!AS130</f>
        <v>4.9000000000000004</v>
      </c>
      <c r="AT69" s="435">
        <f>CAMCAM!AT130</f>
        <v>4.9000000000000004</v>
      </c>
      <c r="AU69" s="435">
        <f>CAMCAM!AU130</f>
        <v>4.9000000000000004</v>
      </c>
      <c r="AV69" s="435">
        <f>CAMCAM!AV130</f>
        <v>4.9000000000000004</v>
      </c>
      <c r="AW69" s="435">
        <f>CAMCAM!AW130</f>
        <v>4.9000000000000004</v>
      </c>
      <c r="AX69" s="435">
        <f>CAMCAM!AX130</f>
        <v>4.9000000000000004</v>
      </c>
      <c r="AY69" s="435">
        <f>CAMCAM!AY130</f>
        <v>4.9000000000000004</v>
      </c>
      <c r="AZ69" s="435">
        <f>CAMCAM!AZ130</f>
        <v>4.9000000000000004</v>
      </c>
      <c r="BA69" s="435">
        <f>CAMCAM!BA130</f>
        <v>4.9000000000000004</v>
      </c>
      <c r="BB69" s="435">
        <f>CAMCAM!BB130</f>
        <v>4.9000000000000004</v>
      </c>
      <c r="BC69" s="435">
        <f>CAMCAM!BC130</f>
        <v>4.9000000000000004</v>
      </c>
      <c r="BD69" s="435">
        <f>CAMCAM!BD130</f>
        <v>4.9000000000000004</v>
      </c>
      <c r="BE69" s="435">
        <f>CAMCAM!BE130</f>
        <v>4.9000000000000004</v>
      </c>
      <c r="BF69" s="435">
        <f>CAMCAM!BF130</f>
        <v>4.9000000000000004</v>
      </c>
      <c r="BG69" s="435">
        <f>CAMCAM!BG130</f>
        <v>4.9000000000000004</v>
      </c>
      <c r="BH69" s="435">
        <f>CAMCAM!BH130</f>
        <v>4.9000000000000004</v>
      </c>
      <c r="BI69" s="435">
        <f>CAMCAM!BI130</f>
        <v>4.9000000000000004</v>
      </c>
      <c r="BJ69" s="435">
        <f>CAMCAM!BJ130</f>
        <v>4.9000000000000004</v>
      </c>
      <c r="BK69" s="435">
        <f>CAMCAM!BK130</f>
        <v>4.9000000000000004</v>
      </c>
      <c r="BL69" s="435">
        <f>CAMCAM!BL130</f>
        <v>4.9000000000000004</v>
      </c>
      <c r="BM69" s="435">
        <f>CAMCAM!BM130</f>
        <v>4.9000000000000004</v>
      </c>
      <c r="BN69" s="435">
        <f>CAMCAM!BN130</f>
        <v>4.9000000000000004</v>
      </c>
      <c r="BO69" s="435">
        <f>CAMCAM!BO130</f>
        <v>4.9000000000000004</v>
      </c>
      <c r="BP69" s="435">
        <f>CAMCAM!BP130</f>
        <v>4.9000000000000004</v>
      </c>
      <c r="BQ69" s="435">
        <f>CAMCAM!BQ130</f>
        <v>4.9000000000000004</v>
      </c>
      <c r="BR69" s="435">
        <f>CAMCAM!BR130</f>
        <v>4.9000000000000004</v>
      </c>
      <c r="BS69" s="435">
        <f>CAMCAM!BS130</f>
        <v>4.9000000000000004</v>
      </c>
      <c r="BT69" s="435">
        <f>CAMCAM!BT130</f>
        <v>4.9000000000000004</v>
      </c>
      <c r="BU69" s="435">
        <f>CAMCAM!BU130</f>
        <v>4.9000000000000004</v>
      </c>
      <c r="BV69" s="435">
        <f>CAMCAM!BV130</f>
        <v>4.9000000000000004</v>
      </c>
      <c r="BW69" s="435">
        <f>CAMCAM!BW130</f>
        <v>4.9000000000000004</v>
      </c>
      <c r="BX69" s="435">
        <f>CAMCAM!BX130</f>
        <v>4.9000000000000004</v>
      </c>
      <c r="BY69" s="435">
        <f>CAMCAM!BY130</f>
        <v>4.9000000000000004</v>
      </c>
      <c r="BZ69" s="435">
        <f>CAMCAM!BZ130</f>
        <v>4.9000000000000004</v>
      </c>
      <c r="CA69" s="435">
        <f>CAMCAM!CA130</f>
        <v>4.9000000000000004</v>
      </c>
      <c r="CB69" s="435">
        <f>CAMCAM!CB130</f>
        <v>4.9000000000000004</v>
      </c>
      <c r="CC69" s="435">
        <f>CAMCAM!CC130</f>
        <v>4.9000000000000004</v>
      </c>
      <c r="CD69" s="435">
        <f>CAMCAM!CD130</f>
        <v>4.9000000000000004</v>
      </c>
      <c r="CE69" s="435">
        <f>CAMCAM!CE130</f>
        <v>4.9000000000000004</v>
      </c>
      <c r="CF69" s="435">
        <f>CAMCAM!CF130</f>
        <v>4.9000000000000004</v>
      </c>
      <c r="CG69" s="435">
        <f>CAMCAM!CG130</f>
        <v>4.9000000000000004</v>
      </c>
      <c r="CH69" s="435">
        <f>CAMCAM!CH130</f>
        <v>4.9000000000000004</v>
      </c>
      <c r="CI69" s="435">
        <f>CAMCAM!CI130</f>
        <v>4.9000000000000004</v>
      </c>
      <c r="CJ69" s="435"/>
    </row>
    <row r="70" spans="2:88" ht="42" x14ac:dyDescent="0.35">
      <c r="B70" s="1217" t="s">
        <v>746</v>
      </c>
      <c r="C70" s="1218" t="s">
        <v>371</v>
      </c>
      <c r="D70" s="522" t="s">
        <v>747</v>
      </c>
      <c r="E70" s="1218" t="s">
        <v>366</v>
      </c>
      <c r="F70" s="523">
        <v>1</v>
      </c>
      <c r="G70" s="436">
        <f>( ( SUM(CAMCAM!G$136) + SUM(CAMCAM!G$137)  - SUM(CAMCAM!G$147) - SUM(CAMCAM!G$148) ) * 1000000 ) / ( (SUM(CAMCAM!G$169) + SUM(CAMCAM!G$170) ) * 1000 )</f>
        <v>157.45232109279306</v>
      </c>
      <c r="H70" s="436">
        <f>( ( SUM(CAMCAM!H$136) + SUM(CAMCAM!H$137)  - SUM(CAMCAM!H$147) - SUM(CAMCAM!H$148) ) * 1000000 ) / ( (SUM(CAMCAM!H$169) + SUM(CAMCAM!H$170) ) * 1000 )</f>
        <v>143.50899656602431</v>
      </c>
      <c r="I70" s="436">
        <f>( ( SUM(CAMCAM!I$136) + SUM(CAMCAM!I$137)  - SUM(CAMCAM!I$147) - SUM(CAMCAM!I$148) ) * 1000000 ) / ( (SUM(CAMCAM!I$169) + SUM(CAMCAM!I$170) ) * 1000 )</f>
        <v>137.14817351732324</v>
      </c>
      <c r="J70" s="436">
        <f>( ( SUM(CAMCAM!J$136) + SUM(CAMCAM!J$137)  - SUM(CAMCAM!J$147) - SUM(CAMCAM!J$148) ) * 1000000 ) / ( (SUM(CAMCAM!J$169) + SUM(CAMCAM!J$170) ) * 1000 )</f>
        <v>130.16298854946021</v>
      </c>
      <c r="K70" s="436">
        <f>( ( SUM(CAMCAM!K$136) + SUM(CAMCAM!K$137)  - SUM(CAMCAM!K$147) - SUM(CAMCAM!K$148) ) * 1000000 ) / ( (SUM(CAMCAM!K$169) + SUM(CAMCAM!K$170) ) * 1000 )</f>
        <v>124.20933472963576</v>
      </c>
      <c r="L70" s="436">
        <f>( ( SUM(CAMCAM!L$136) + SUM(CAMCAM!L$137)  - SUM(CAMCAM!L$147) - SUM(CAMCAM!L$148) ) * 1000000 ) / ( (SUM(CAMCAM!L$169) + SUM(CAMCAM!L$170) ) * 1000 )</f>
        <v>123.81872143538924</v>
      </c>
      <c r="M70" s="436">
        <f>( ( SUM(CAMCAM!M$136) + SUM(CAMCAM!M$137)  - SUM(CAMCAM!M$147) - SUM(CAMCAM!M$148) ) * 1000000 ) / ( (SUM(CAMCAM!M$169) + SUM(CAMCAM!M$170) ) * 1000 )</f>
        <v>122.03689888381325</v>
      </c>
      <c r="N70" s="436">
        <f>( ( SUM(CAMCAM!N$136) + SUM(CAMCAM!N$137)  - SUM(CAMCAM!N$147) - SUM(CAMCAM!N$148) ) * 1000000 ) / ( (SUM(CAMCAM!N$169) + SUM(CAMCAM!N$170) ) * 1000 )</f>
        <v>121.31519060729687</v>
      </c>
      <c r="O70" s="436">
        <f>( ( SUM(CAMCAM!O$136) + SUM(CAMCAM!O$137)  - SUM(CAMCAM!O$147) - SUM(CAMCAM!O$148) ) * 1000000 ) / ( (SUM(CAMCAM!O$169) + SUM(CAMCAM!O$170) ) * 1000 )</f>
        <v>120.20673337107058</v>
      </c>
      <c r="P70" s="436">
        <f>( ( SUM(CAMCAM!P$136) + SUM(CAMCAM!P$137)  - SUM(CAMCAM!P$147) - SUM(CAMCAM!P$148) ) * 1000000 ) / ( (SUM(CAMCAM!P$169) + SUM(CAMCAM!P$170) ) * 1000 )</f>
        <v>118.99020622497306</v>
      </c>
      <c r="Q70" s="436">
        <f>( ( SUM(CAMCAM!Q$136) + SUM(CAMCAM!Q$137)  - SUM(CAMCAM!Q$147) - SUM(CAMCAM!Q$148) ) * 1000000 ) / ( (SUM(CAMCAM!Q$169) + SUM(CAMCAM!Q$170) ) * 1000 )</f>
        <v>117.48852169496142</v>
      </c>
      <c r="R70" s="436">
        <f>( ( SUM(CAMCAM!R$136) + SUM(CAMCAM!R$137)  - SUM(CAMCAM!R$147) - SUM(CAMCAM!R$148) ) * 1000000 ) / ( (SUM(CAMCAM!R$169) + SUM(CAMCAM!R$170) ) * 1000 )</f>
        <v>115.8602453366708</v>
      </c>
      <c r="S70" s="436">
        <f>( ( SUM(CAMCAM!S$136) + SUM(CAMCAM!S$137)  - SUM(CAMCAM!S$147) - SUM(CAMCAM!S$148) ) * 1000000 ) / ( (SUM(CAMCAM!S$169) + SUM(CAMCAM!S$170) ) * 1000 )</f>
        <v>114.35736874437667</v>
      </c>
      <c r="T70" s="436">
        <f>( ( SUM(CAMCAM!T$136) + SUM(CAMCAM!T$137)  - SUM(CAMCAM!T$147) - SUM(CAMCAM!T$148) ) * 1000000 ) / ( (SUM(CAMCAM!T$169) + SUM(CAMCAM!T$170) ) * 1000 )</f>
        <v>113.16081310762858</v>
      </c>
      <c r="U70" s="436">
        <f>( ( SUM(CAMCAM!U$136) + SUM(CAMCAM!U$137)  - SUM(CAMCAM!U$147) - SUM(CAMCAM!U$148) ) * 1000000 ) / ( (SUM(CAMCAM!U$169) + SUM(CAMCAM!U$170) ) * 1000 )</f>
        <v>111.97249433627171</v>
      </c>
      <c r="V70" s="436">
        <f>( ( SUM(CAMCAM!V$136) + SUM(CAMCAM!V$137)  - SUM(CAMCAM!V$147) - SUM(CAMCAM!V$148) ) * 1000000 ) / ( (SUM(CAMCAM!V$169) + SUM(CAMCAM!V$170) ) * 1000 )</f>
        <v>110.66523664478555</v>
      </c>
      <c r="W70" s="436">
        <f>( ( SUM(CAMCAM!W$136) + SUM(CAMCAM!W$137)  - SUM(CAMCAM!W$147) - SUM(CAMCAM!W$148) ) * 1000000 ) / ( (SUM(CAMCAM!W$169) + SUM(CAMCAM!W$170) ) * 1000 )</f>
        <v>109.52547018144331</v>
      </c>
      <c r="X70" s="436">
        <f>( ( SUM(CAMCAM!X$136) + SUM(CAMCAM!X$137)  - SUM(CAMCAM!X$147) - SUM(CAMCAM!X$148) ) * 1000000 ) / ( (SUM(CAMCAM!X$169) + SUM(CAMCAM!X$170) ) * 1000 )</f>
        <v>108.45188021955829</v>
      </c>
      <c r="Y70" s="436">
        <f>( ( SUM(CAMCAM!Y$136) + SUM(CAMCAM!Y$137)  - SUM(CAMCAM!Y$147) - SUM(CAMCAM!Y$148) ) * 1000000 ) / ( (SUM(CAMCAM!Y$169) + SUM(CAMCAM!Y$170) ) * 1000 )</f>
        <v>107.48177443898049</v>
      </c>
      <c r="Z70" s="436">
        <f>( ( SUM(CAMCAM!Z$136) + SUM(CAMCAM!Z$137)  - SUM(CAMCAM!Z$147) - SUM(CAMCAM!Z$148) ) * 1000000 ) / ( (SUM(CAMCAM!Z$169) + SUM(CAMCAM!Z$170) ) * 1000 )</f>
        <v>106.40596598246024</v>
      </c>
      <c r="AA70" s="436">
        <f>( ( SUM(CAMCAM!AA$136) + SUM(CAMCAM!AA$137)  - SUM(CAMCAM!AA$147) - SUM(CAMCAM!AA$148) ) * 1000000 ) / ( (SUM(CAMCAM!AA$169) + SUM(CAMCAM!AA$170) ) * 1000 )</f>
        <v>105.42937032458586</v>
      </c>
      <c r="AB70" s="436">
        <f>( ( SUM(CAMCAM!AB$136) + SUM(CAMCAM!AB$137)  - SUM(CAMCAM!AB$147) - SUM(CAMCAM!AB$148) ) * 1000000 ) / ( (SUM(CAMCAM!AB$169) + SUM(CAMCAM!AB$170) ) * 1000 )</f>
        <v>104.42975440011782</v>
      </c>
      <c r="AC70" s="436">
        <f>( ( SUM(CAMCAM!AC$136) + SUM(CAMCAM!AC$137)  - SUM(CAMCAM!AC$147) - SUM(CAMCAM!AC$148) ) * 1000000 ) / ( (SUM(CAMCAM!AC$169) + SUM(CAMCAM!AC$170) ) * 1000 )</f>
        <v>103.4239708496543</v>
      </c>
      <c r="AD70" s="436">
        <f>( ( SUM(CAMCAM!AD$136) + SUM(CAMCAM!AD$137)  - SUM(CAMCAM!AD$147) - SUM(CAMCAM!AD$148) ) * 1000000 ) / ( (SUM(CAMCAM!AD$169) + SUM(CAMCAM!AD$170) ) * 1000 )</f>
        <v>102.42497975233732</v>
      </c>
      <c r="AE70" s="436">
        <f>( ( SUM(CAMCAM!AE$136) + SUM(CAMCAM!AE$137)  - SUM(CAMCAM!AE$147) - SUM(CAMCAM!AE$148) ) * 1000000 ) / ( (SUM(CAMCAM!AE$169) + SUM(CAMCAM!AE$170) ) * 1000 )</f>
        <v>101.40096303058256</v>
      </c>
      <c r="AF70" s="436">
        <f>( ( SUM(CAMCAM!AF$136) + SUM(CAMCAM!AF$137)  - SUM(CAMCAM!AF$147) - SUM(CAMCAM!AF$148) ) * 1000000 ) / ( (SUM(CAMCAM!AF$169) + SUM(CAMCAM!AF$170) ) * 1000 )</f>
        <v>100.36759764470827</v>
      </c>
      <c r="AG70" s="436">
        <f>( ( SUM(CAMCAM!AG$136) + SUM(CAMCAM!AG$137)  - SUM(CAMCAM!AG$147) - SUM(CAMCAM!AG$148) ) * 1000000 ) / ( (SUM(CAMCAM!AG$169) + SUM(CAMCAM!AG$170) ) * 1000 )</f>
        <v>99.934415480926887</v>
      </c>
      <c r="AH70" s="436">
        <f>( ( SUM(CAMCAM!AH$136) + SUM(CAMCAM!AH$137)  - SUM(CAMCAM!AH$147) - SUM(CAMCAM!AH$148) ) * 1000000 ) / ( (SUM(CAMCAM!AH$169) + SUM(CAMCAM!AH$170) ) * 1000 )</f>
        <v>99.51978162176394</v>
      </c>
      <c r="AI70" s="436">
        <f>( ( SUM(CAMCAM!AI$136) + SUM(CAMCAM!AI$137)  - SUM(CAMCAM!AI$147) - SUM(CAMCAM!AI$148) ) * 1000000 ) / ( (SUM(CAMCAM!AI$169) + SUM(CAMCAM!AI$170) ) * 1000 )</f>
        <v>99.092071670039218</v>
      </c>
      <c r="AJ70" s="436">
        <f>( ( SUM(CAMCAM!AJ$136) + SUM(CAMCAM!AJ$137)  - SUM(CAMCAM!AJ$147) - SUM(CAMCAM!AJ$148) ) * 1000000 ) / ( (SUM(CAMCAM!AJ$169) + SUM(CAMCAM!AJ$170) ) * 1000 )</f>
        <v>98.653741248342698</v>
      </c>
      <c r="AK70" s="436">
        <f>( ( SUM(CAMCAM!AK$136) + SUM(CAMCAM!AK$137)  - SUM(CAMCAM!AK$147) - SUM(CAMCAM!AK$148) ) * 1000000 ) / ( (SUM(CAMCAM!AK$169) + SUM(CAMCAM!AK$170) ) * 1000 )</f>
        <v>98.107307414313837</v>
      </c>
      <c r="AL70" s="436">
        <f>( ( SUM(CAMCAM!AL$136) + SUM(CAMCAM!AL$137)  - SUM(CAMCAM!AL$147) - SUM(CAMCAM!AL$148) ) * 1000000 ) / ( (SUM(CAMCAM!AL$169) + SUM(CAMCAM!AL$170) ) * 1000 )</f>
        <v>97.847432268120428</v>
      </c>
      <c r="AM70" s="436">
        <f>( ( SUM(CAMCAM!AM$136) + SUM(CAMCAM!AM$137)  - SUM(CAMCAM!AM$147) - SUM(CAMCAM!AM$148) ) * 1000000 ) / ( (SUM(CAMCAM!AM$169) + SUM(CAMCAM!AM$170) ) * 1000 )</f>
        <v>97.590279494339939</v>
      </c>
      <c r="AN70" s="436">
        <f>( ( SUM(CAMCAM!AN$136) + SUM(CAMCAM!AN$137)  - SUM(CAMCAM!AN$147) - SUM(CAMCAM!AN$148) ) * 1000000 ) / ( (SUM(CAMCAM!AN$169) + SUM(CAMCAM!AN$170) ) * 1000 )</f>
        <v>97.33008090091802</v>
      </c>
      <c r="AO70" s="436">
        <f>( ( SUM(CAMCAM!AO$136) + SUM(CAMCAM!AO$137)  - SUM(CAMCAM!AO$147) - SUM(CAMCAM!AO$148) ) * 1000000 ) / ( (SUM(CAMCAM!AO$169) + SUM(CAMCAM!AO$170) ) * 1000 )</f>
        <v>97.320431426068694</v>
      </c>
      <c r="AP70" s="436">
        <f>( ( SUM(CAMCAM!AP$136) + SUM(CAMCAM!AP$137)  - SUM(CAMCAM!AP$147) - SUM(CAMCAM!AP$148) ) * 1000000 ) / ( (SUM(CAMCAM!AP$169) + SUM(CAMCAM!AP$170) ) * 1000 )</f>
        <v>97.31315913456605</v>
      </c>
      <c r="AQ70" s="436">
        <f>( ( SUM(CAMCAM!AQ$136) + SUM(CAMCAM!AQ$137)  - SUM(CAMCAM!AQ$147) - SUM(CAMCAM!AQ$148) ) * 1000000 ) / ( (SUM(CAMCAM!AQ$169) + SUM(CAMCAM!AQ$170) ) * 1000 )</f>
        <v>97.314290390318504</v>
      </c>
      <c r="AR70" s="436">
        <f>( ( SUM(CAMCAM!AR$136) + SUM(CAMCAM!AR$137)  - SUM(CAMCAM!AR$147) - SUM(CAMCAM!AR$148) ) * 1000000 ) / ( (SUM(CAMCAM!AR$169) + SUM(CAMCAM!AR$170) ) * 1000 )</f>
        <v>97.301833075788878</v>
      </c>
      <c r="AS70" s="436">
        <f>( ( SUM(CAMCAM!AS$136) + SUM(CAMCAM!AS$137)  - SUM(CAMCAM!AS$147) - SUM(CAMCAM!AS$148) ) * 1000000 ) / ( (SUM(CAMCAM!AS$169) + SUM(CAMCAM!AS$170) ) * 1000 )</f>
        <v>97.284409390610108</v>
      </c>
      <c r="AT70" s="436">
        <f>( ( SUM(CAMCAM!AT$136) + SUM(CAMCAM!AT$137)  - SUM(CAMCAM!AT$147) - SUM(CAMCAM!AT$148) ) * 1000000 ) / ( (SUM(CAMCAM!AT$169) + SUM(CAMCAM!AT$170) ) * 1000 )</f>
        <v>97.274358672751617</v>
      </c>
      <c r="AU70" s="436">
        <f>( ( SUM(CAMCAM!AU$136) + SUM(CAMCAM!AU$137)  - SUM(CAMCAM!AU$147) - SUM(CAMCAM!AU$148) ) * 1000000 ) / ( (SUM(CAMCAM!AU$169) + SUM(CAMCAM!AU$170) ) * 1000 )</f>
        <v>97.261759044422803</v>
      </c>
      <c r="AV70" s="436">
        <f>( ( SUM(CAMCAM!AV$136) + SUM(CAMCAM!AV$137)  - SUM(CAMCAM!AV$147) - SUM(CAMCAM!AV$148) ) * 1000000 ) / ( (SUM(CAMCAM!AV$169) + SUM(CAMCAM!AV$170) ) * 1000 )</f>
        <v>97.253024614097583</v>
      </c>
      <c r="AW70" s="436">
        <f>( ( SUM(CAMCAM!AW$136) + SUM(CAMCAM!AW$137)  - SUM(CAMCAM!AW$147) - SUM(CAMCAM!AW$148) ) * 1000000 ) / ( (SUM(CAMCAM!AW$169) + SUM(CAMCAM!AW$170) ) * 1000 )</f>
        <v>97.246920877212233</v>
      </c>
      <c r="AX70" s="436">
        <f>( ( SUM(CAMCAM!AX$136) + SUM(CAMCAM!AX$137)  - SUM(CAMCAM!AX$147) - SUM(CAMCAM!AX$148) ) * 1000000 ) / ( (SUM(CAMCAM!AX$169) + SUM(CAMCAM!AX$170) ) * 1000 )</f>
        <v>97.243439368159244</v>
      </c>
      <c r="AY70" s="436">
        <f>( ( SUM(CAMCAM!AY$136) + SUM(CAMCAM!AY$137)  - SUM(CAMCAM!AY$147) - SUM(CAMCAM!AY$148) ) * 1000000 ) / ( (SUM(CAMCAM!AY$169) + SUM(CAMCAM!AY$170) ) * 1000 )</f>
        <v>97.250223636644876</v>
      </c>
      <c r="AZ70" s="436">
        <f>( ( SUM(CAMCAM!AZ$136) + SUM(CAMCAM!AZ$137)  - SUM(CAMCAM!AZ$147) - SUM(CAMCAM!AZ$148) ) * 1000000 ) / ( (SUM(CAMCAM!AZ$169) + SUM(CAMCAM!AZ$170) ) * 1000 )</f>
        <v>97.263796683193164</v>
      </c>
      <c r="BA70" s="436">
        <f>( ( SUM(CAMCAM!BA$136) + SUM(CAMCAM!BA$137)  - SUM(CAMCAM!BA$147) - SUM(CAMCAM!BA$148) ) * 1000000 ) / ( (SUM(CAMCAM!BA$169) + SUM(CAMCAM!BA$170) ) * 1000 )</f>
        <v>97.282226799671875</v>
      </c>
      <c r="BB70" s="436">
        <f>( ( SUM(CAMCAM!BB$136) + SUM(CAMCAM!BB$137)  - SUM(CAMCAM!BB$147) - SUM(CAMCAM!BB$148) ) * 1000000 ) / ( (SUM(CAMCAM!BB$169) + SUM(CAMCAM!BB$170) ) * 1000 )</f>
        <v>97.297134572958285</v>
      </c>
      <c r="BC70" s="436">
        <f>( ( SUM(CAMCAM!BC$136) + SUM(CAMCAM!BC$137)  - SUM(CAMCAM!BC$147) - SUM(CAMCAM!BC$148) ) * 1000000 ) / ( (SUM(CAMCAM!BC$169) + SUM(CAMCAM!BC$170) ) * 1000 )</f>
        <v>97.316747917036565</v>
      </c>
      <c r="BD70" s="436">
        <f>( ( SUM(CAMCAM!BD$136) + SUM(CAMCAM!BD$137)  - SUM(CAMCAM!BD$147) - SUM(CAMCAM!BD$148) ) * 1000000 ) / ( (SUM(CAMCAM!BD$169) + SUM(CAMCAM!BD$170) ) * 1000 )</f>
        <v>97.337157201383008</v>
      </c>
      <c r="BE70" s="436">
        <f>( ( SUM(CAMCAM!BE$136) + SUM(CAMCAM!BE$137)  - SUM(CAMCAM!BE$147) - SUM(CAMCAM!BE$148) ) * 1000000 ) / ( (SUM(CAMCAM!BE$169) + SUM(CAMCAM!BE$170) ) * 1000 )</f>
        <v>97.360897023546798</v>
      </c>
      <c r="BF70" s="436">
        <f>( ( SUM(CAMCAM!BF$136) + SUM(CAMCAM!BF$137)  - SUM(CAMCAM!BF$147) - SUM(CAMCAM!BF$148) ) * 1000000 ) / ( (SUM(CAMCAM!BF$169) + SUM(CAMCAM!BF$170) ) * 1000 )</f>
        <v>97.391781303486994</v>
      </c>
      <c r="BG70" s="436">
        <f>( ( SUM(CAMCAM!BG$136) + SUM(CAMCAM!BG$137)  - SUM(CAMCAM!BG$147) - SUM(CAMCAM!BG$148) ) * 1000000 ) / ( (SUM(CAMCAM!BG$169) + SUM(CAMCAM!BG$170) ) * 1000 )</f>
        <v>97.423309426201584</v>
      </c>
      <c r="BH70" s="436">
        <f>( ( SUM(CAMCAM!BH$136) + SUM(CAMCAM!BH$137)  - SUM(CAMCAM!BH$147) - SUM(CAMCAM!BH$148) ) * 1000000 ) / ( (SUM(CAMCAM!BH$169) + SUM(CAMCAM!BH$170) ) * 1000 )</f>
        <v>97.45820835034101</v>
      </c>
      <c r="BI70" s="436">
        <f>( ( SUM(CAMCAM!BI$136) + SUM(CAMCAM!BI$137)  - SUM(CAMCAM!BI$147) - SUM(CAMCAM!BI$148) ) * 1000000 ) / ( (SUM(CAMCAM!BI$169) + SUM(CAMCAM!BI$170) ) * 1000 )</f>
        <v>97.490861143108546</v>
      </c>
      <c r="BJ70" s="436">
        <f>( ( SUM(CAMCAM!BJ$136) + SUM(CAMCAM!BJ$137)  - SUM(CAMCAM!BJ$147) - SUM(CAMCAM!BJ$148) ) * 1000000 ) / ( (SUM(CAMCAM!BJ$169) + SUM(CAMCAM!BJ$170) ) * 1000 )</f>
        <v>97.523898318724903</v>
      </c>
      <c r="BK70" s="436">
        <f>( ( SUM(CAMCAM!BK$136) + SUM(CAMCAM!BK$137)  - SUM(CAMCAM!BK$147) - SUM(CAMCAM!BK$148) ) * 1000000 ) / ( (SUM(CAMCAM!BK$169) + SUM(CAMCAM!BK$170) ) * 1000 )</f>
        <v>97.558824872398361</v>
      </c>
      <c r="BL70" s="436">
        <f>( ( SUM(CAMCAM!BL$136) + SUM(CAMCAM!BL$137)  - SUM(CAMCAM!BL$147) - SUM(CAMCAM!BL$148) ) * 1000000 ) / ( (SUM(CAMCAM!BL$169) + SUM(CAMCAM!BL$170) ) * 1000 )</f>
        <v>97.594058785677902</v>
      </c>
      <c r="BM70" s="436">
        <f>( ( SUM(CAMCAM!BM$136) + SUM(CAMCAM!BM$137)  - SUM(CAMCAM!BM$147) - SUM(CAMCAM!BM$148) ) * 1000000 ) / ( (SUM(CAMCAM!BM$169) + SUM(CAMCAM!BM$170) ) * 1000 )</f>
        <v>97.631953267368189</v>
      </c>
      <c r="BN70" s="436">
        <f>( ( SUM(CAMCAM!BN$136) + SUM(CAMCAM!BN$137)  - SUM(CAMCAM!BN$147) - SUM(CAMCAM!BN$148) ) * 1000000 ) / ( (SUM(CAMCAM!BN$169) + SUM(CAMCAM!BN$170) ) * 1000 )</f>
        <v>97.671889352721564</v>
      </c>
      <c r="BO70" s="436">
        <f>( ( SUM(CAMCAM!BO$136) + SUM(CAMCAM!BO$137)  - SUM(CAMCAM!BO$147) - SUM(CAMCAM!BO$148) ) * 1000000 ) / ( (SUM(CAMCAM!BO$169) + SUM(CAMCAM!BO$170) ) * 1000 )</f>
        <v>97.716812115229246</v>
      </c>
      <c r="BP70" s="436">
        <f>( ( SUM(CAMCAM!BP$136) + SUM(CAMCAM!BP$137)  - SUM(CAMCAM!BP$147) - SUM(CAMCAM!BP$148) ) * 1000000 ) / ( (SUM(CAMCAM!BP$169) + SUM(CAMCAM!BP$170) ) * 1000 )</f>
        <v>97.766430517166455</v>
      </c>
      <c r="BQ70" s="436">
        <f>( ( SUM(CAMCAM!BQ$136) + SUM(CAMCAM!BQ$137)  - SUM(CAMCAM!BQ$147) - SUM(CAMCAM!BQ$148) ) * 1000000 ) / ( (SUM(CAMCAM!BQ$169) + SUM(CAMCAM!BQ$170) ) * 1000 )</f>
        <v>97.82050841044385</v>
      </c>
      <c r="BR70" s="436">
        <f>( ( SUM(CAMCAM!BR$136) + SUM(CAMCAM!BR$137)  - SUM(CAMCAM!BR$147) - SUM(CAMCAM!BR$148) ) * 1000000 ) / ( (SUM(CAMCAM!BR$169) + SUM(CAMCAM!BR$170) ) * 1000 )</f>
        <v>97.873449488281537</v>
      </c>
      <c r="BS70" s="436">
        <f>( ( SUM(CAMCAM!BS$136) + SUM(CAMCAM!BS$137)  - SUM(CAMCAM!BS$147) - SUM(CAMCAM!BS$148) ) * 1000000 ) / ( (SUM(CAMCAM!BS$169) + SUM(CAMCAM!BS$170) ) * 1000 )</f>
        <v>97.929313522939069</v>
      </c>
      <c r="BT70" s="436">
        <f>( ( SUM(CAMCAM!BT$136) + SUM(CAMCAM!BT$137)  - SUM(CAMCAM!BT$147) - SUM(CAMCAM!BT$148) ) * 1000000 ) / ( (SUM(CAMCAM!BT$169) + SUM(CAMCAM!BT$170) ) * 1000 )</f>
        <v>97.987007474253232</v>
      </c>
      <c r="BU70" s="436">
        <f>( ( SUM(CAMCAM!BU$136) + SUM(CAMCAM!BU$137)  - SUM(CAMCAM!BU$147) - SUM(CAMCAM!BU$148) ) * 1000000 ) / ( (SUM(CAMCAM!BU$169) + SUM(CAMCAM!BU$170) ) * 1000 )</f>
        <v>98.049988115179303</v>
      </c>
      <c r="BV70" s="436">
        <f>( ( SUM(CAMCAM!BV$136) + SUM(CAMCAM!BV$137)  - SUM(CAMCAM!BV$147) - SUM(CAMCAM!BV$148) ) * 1000000 ) / ( (SUM(CAMCAM!BV$169) + SUM(CAMCAM!BV$170) ) * 1000 )</f>
        <v>98.1109155752155</v>
      </c>
      <c r="BW70" s="436">
        <f>( ( SUM(CAMCAM!BW$136) + SUM(CAMCAM!BW$137)  - SUM(CAMCAM!BW$147) - SUM(CAMCAM!BW$148) ) * 1000000 ) / ( (SUM(CAMCAM!BW$169) + SUM(CAMCAM!BW$170) ) * 1000 )</f>
        <v>98.17591059235211</v>
      </c>
      <c r="BX70" s="436">
        <f>( ( SUM(CAMCAM!BX$136) + SUM(CAMCAM!BX$137)  - SUM(CAMCAM!BX$147) - SUM(CAMCAM!BX$148) ) * 1000000 ) / ( (SUM(CAMCAM!BX$169) + SUM(CAMCAM!BX$170) ) * 1000 )</f>
        <v>98.243931369599309</v>
      </c>
      <c r="BY70" s="436">
        <f>( ( SUM(CAMCAM!BY$136) + SUM(CAMCAM!BY$137)  - SUM(CAMCAM!BY$147) - SUM(CAMCAM!BY$148) ) * 1000000 ) / ( (SUM(CAMCAM!BY$169) + SUM(CAMCAM!BY$170) ) * 1000 )</f>
        <v>98.317006590110211</v>
      </c>
      <c r="BZ70" s="436">
        <f>( ( SUM(CAMCAM!BZ$136) + SUM(CAMCAM!BZ$137)  - SUM(CAMCAM!BZ$147) - SUM(CAMCAM!BZ$148) ) * 1000000 ) / ( (SUM(CAMCAM!BZ$169) + SUM(CAMCAM!BZ$170) ) * 1000 )</f>
        <v>98.393598169207223</v>
      </c>
      <c r="CA70" s="436">
        <f>( ( SUM(CAMCAM!CA$136) + SUM(CAMCAM!CA$137)  - SUM(CAMCAM!CA$147) - SUM(CAMCAM!CA$148) ) * 1000000 ) / ( (SUM(CAMCAM!CA$169) + SUM(CAMCAM!CA$170) ) * 1000 )</f>
        <v>98.473110390837547</v>
      </c>
      <c r="CB70" s="436">
        <f>( ( SUM(CAMCAM!CB$136) + SUM(CAMCAM!CB$137)  - SUM(CAMCAM!CB$147) - SUM(CAMCAM!CB$148) ) * 1000000 ) / ( (SUM(CAMCAM!CB$169) + SUM(CAMCAM!CB$170) ) * 1000 )</f>
        <v>98.550909463117975</v>
      </c>
      <c r="CC70" s="436">
        <f>( ( SUM(CAMCAM!CC$136) + SUM(CAMCAM!CC$137)  - SUM(CAMCAM!CC$147) - SUM(CAMCAM!CC$148) ) * 1000000 ) / ( (SUM(CAMCAM!CC$169) + SUM(CAMCAM!CC$170) ) * 1000 )</f>
        <v>98.630261582902449</v>
      </c>
      <c r="CD70" s="436">
        <f>( ( SUM(CAMCAM!CD$136) + SUM(CAMCAM!CD$137)  - SUM(CAMCAM!CD$147) - SUM(CAMCAM!CD$148) ) * 1000000 ) / ( (SUM(CAMCAM!CD$169) + SUM(CAMCAM!CD$170) ) * 1000 )</f>
        <v>98.709120161255072</v>
      </c>
      <c r="CE70" s="436">
        <f>( ( SUM(CAMCAM!CE$136) + SUM(CAMCAM!CE$137)  - SUM(CAMCAM!CE$147) - SUM(CAMCAM!CE$148) ) * 1000000 ) / ( (SUM(CAMCAM!CE$169) + SUM(CAMCAM!CE$170) ) * 1000 )</f>
        <v>98.789830401507714</v>
      </c>
      <c r="CF70" s="436">
        <f>( ( SUM(CAMCAM!CF$136) + SUM(CAMCAM!CF$137)  - SUM(CAMCAM!CF$147) - SUM(CAMCAM!CF$148) ) * 1000000 ) / ( (SUM(CAMCAM!CF$169) + SUM(CAMCAM!CF$170) ) * 1000 )</f>
        <v>98.869429446905116</v>
      </c>
      <c r="CG70" s="436">
        <f>( ( SUM(CAMCAM!CG$136) + SUM(CAMCAM!CG$137)  - SUM(CAMCAM!CG$147) - SUM(CAMCAM!CG$148) ) * 1000000 ) / ( (SUM(CAMCAM!CG$169) + SUM(CAMCAM!CG$170) ) * 1000 )</f>
        <v>98.947279105653919</v>
      </c>
      <c r="CH70" s="436">
        <f>( ( SUM(CAMCAM!CH$136) + SUM(CAMCAM!CH$137)  - SUM(CAMCAM!CH$147) - SUM(CAMCAM!CH$148) ) * 1000000 ) / ( (SUM(CAMCAM!CH$169) + SUM(CAMCAM!CH$170) ) * 1000 )</f>
        <v>99.021792869233863</v>
      </c>
      <c r="CI70" s="436">
        <f>( ( SUM(CAMCAM!CI$136) + SUM(CAMCAM!CI$137)  - SUM(CAMCAM!CI$147) - SUM(CAMCAM!CI$148) ) * 1000000 ) / ( (SUM(CAMCAM!CI$169) + SUM(CAMCAM!CI$170) ) * 1000 )</f>
        <v>107.63964026429284</v>
      </c>
      <c r="CJ70" s="435"/>
    </row>
    <row r="71" spans="2:88" ht="28" x14ac:dyDescent="0.35">
      <c r="B71" s="1219" t="s">
        <v>748</v>
      </c>
      <c r="C71" s="1220" t="s">
        <v>726</v>
      </c>
      <c r="D71" s="524" t="s">
        <v>749</v>
      </c>
      <c r="E71" s="1220" t="s">
        <v>359</v>
      </c>
      <c r="F71" s="525">
        <v>1</v>
      </c>
      <c r="G71" s="437">
        <f>( SUM(CAMCAM!G$156)) /  ( SUM(CAMCAM!G$156) + SUM(CAMCAM!G$163) + SUM(CAMCAM!G$164) + SUM(CAMCAM!G$165) )</f>
        <v>0.72626103610629478</v>
      </c>
      <c r="H71" s="437">
        <f>( SUM(CAMCAM!H$156)) /  ( SUM(CAMCAM!H$156) + SUM(CAMCAM!H$163) + SUM(CAMCAM!H$164) + SUM(CAMCAM!H$165) )</f>
        <v>0.72993445828742831</v>
      </c>
      <c r="I71" s="437">
        <f>( SUM(CAMCAM!I$156)) /  ( SUM(CAMCAM!I$156) + SUM(CAMCAM!I$163) + SUM(CAMCAM!I$164) + SUM(CAMCAM!I$165) )</f>
        <v>0.73291094776671395</v>
      </c>
      <c r="J71" s="437">
        <f>( SUM(CAMCAM!J$156)) /  ( SUM(CAMCAM!J$156) + SUM(CAMCAM!J$163) + SUM(CAMCAM!J$164) + SUM(CAMCAM!J$165) )</f>
        <v>0.74402614907834641</v>
      </c>
      <c r="K71" s="437">
        <f>( SUM(CAMCAM!K$156)) /  ( SUM(CAMCAM!K$156) + SUM(CAMCAM!K$163) + SUM(CAMCAM!K$164) + SUM(CAMCAM!K$165) )</f>
        <v>0.75401469494896367</v>
      </c>
      <c r="L71" s="437">
        <f>( SUM(CAMCAM!L$156)) /  ( SUM(CAMCAM!L$156) + SUM(CAMCAM!L$163) + SUM(CAMCAM!L$164) + SUM(CAMCAM!L$165) )</f>
        <v>0.76358734248049143</v>
      </c>
      <c r="M71" s="437">
        <f>( SUM(CAMCAM!M$156)) /  ( SUM(CAMCAM!M$156) + SUM(CAMCAM!M$163) + SUM(CAMCAM!M$164) + SUM(CAMCAM!M$165) )</f>
        <v>0.78594301473519468</v>
      </c>
      <c r="N71" s="437">
        <f>( SUM(CAMCAM!N$156)) /  ( SUM(CAMCAM!N$156) + SUM(CAMCAM!N$163) + SUM(CAMCAM!N$164) + SUM(CAMCAM!N$165) )</f>
        <v>0.80673565442974537</v>
      </c>
      <c r="O71" s="437">
        <f>( SUM(CAMCAM!O$156)) /  ( SUM(CAMCAM!O$156) + SUM(CAMCAM!O$163) + SUM(CAMCAM!O$164) + SUM(CAMCAM!O$165) )</f>
        <v>0.82738768063624635</v>
      </c>
      <c r="P71" s="437">
        <f>( SUM(CAMCAM!P$156)) /  ( SUM(CAMCAM!P$156) + SUM(CAMCAM!P$163) + SUM(CAMCAM!P$164) + SUM(CAMCAM!P$165) )</f>
        <v>0.84718291193848738</v>
      </c>
      <c r="Q71" s="437">
        <f>( SUM(CAMCAM!Q$156)) /  ( SUM(CAMCAM!Q$156) + SUM(CAMCAM!Q$163) + SUM(CAMCAM!Q$164) + SUM(CAMCAM!Q$165) )</f>
        <v>0.866051513550396</v>
      </c>
      <c r="R71" s="437">
        <f>( SUM(CAMCAM!R$156)) /  ( SUM(CAMCAM!R$156) + SUM(CAMCAM!R$163) + SUM(CAMCAM!R$164) + SUM(CAMCAM!R$165) )</f>
        <v>0.88427779757125125</v>
      </c>
      <c r="S71" s="437">
        <f>( SUM(CAMCAM!S$156)) /  ( SUM(CAMCAM!S$156) + SUM(CAMCAM!S$163) + SUM(CAMCAM!S$164) + SUM(CAMCAM!S$165) )</f>
        <v>0.90175736400285067</v>
      </c>
      <c r="T71" s="437">
        <f>( SUM(CAMCAM!T$156)) /  ( SUM(CAMCAM!T$156) + SUM(CAMCAM!T$163) + SUM(CAMCAM!T$164) + SUM(CAMCAM!T$165) )</f>
        <v>0.9186270335011284</v>
      </c>
      <c r="U71" s="437">
        <f>( SUM(CAMCAM!U$156)) /  ( SUM(CAMCAM!U$156) + SUM(CAMCAM!U$163) + SUM(CAMCAM!U$164) + SUM(CAMCAM!U$165) )</f>
        <v>0.93512473206179303</v>
      </c>
      <c r="V71" s="437">
        <f>( SUM(CAMCAM!V$156)) /  ( SUM(CAMCAM!V$156) + SUM(CAMCAM!V$163) + SUM(CAMCAM!V$164) + SUM(CAMCAM!V$165) )</f>
        <v>0.95126821414060414</v>
      </c>
      <c r="W71" s="437">
        <f>( SUM(CAMCAM!W$156)) /  ( SUM(CAMCAM!W$156) + SUM(CAMCAM!W$163) + SUM(CAMCAM!W$164) + SUM(CAMCAM!W$165) )</f>
        <v>0.96704208745478748</v>
      </c>
      <c r="X71" s="437">
        <f>( SUM(CAMCAM!X$156)) /  ( SUM(CAMCAM!X$156) + SUM(CAMCAM!X$163) + SUM(CAMCAM!X$164) + SUM(CAMCAM!X$165) )</f>
        <v>0.98229438230782939</v>
      </c>
      <c r="Y71" s="437">
        <f>( SUM(CAMCAM!Y$156)) /  ( SUM(CAMCAM!Y$156) + SUM(CAMCAM!Y$163) + SUM(CAMCAM!Y$164) + SUM(CAMCAM!Y$165) )</f>
        <v>0.98251386484879433</v>
      </c>
      <c r="Z71" s="437">
        <f>( SUM(CAMCAM!Z$156)) /  ( SUM(CAMCAM!Z$156) + SUM(CAMCAM!Z$163) + SUM(CAMCAM!Z$164) + SUM(CAMCAM!Z$165) )</f>
        <v>0.98272650126988714</v>
      </c>
      <c r="AA71" s="437">
        <f>( SUM(CAMCAM!AA$156)) /  ( SUM(CAMCAM!AA$156) + SUM(CAMCAM!AA$163) + SUM(CAMCAM!AA$164) + SUM(CAMCAM!AA$165) )</f>
        <v>0.98293284268946235</v>
      </c>
      <c r="AB71" s="437">
        <f>( SUM(CAMCAM!AB$156)) /  ( SUM(CAMCAM!AB$156) + SUM(CAMCAM!AB$163) + SUM(CAMCAM!AB$164) + SUM(CAMCAM!AB$165) )</f>
        <v>0.98313491823924293</v>
      </c>
      <c r="AC71" s="437">
        <f>( SUM(CAMCAM!AC$156)) /  ( SUM(CAMCAM!AC$156) + SUM(CAMCAM!AC$163) + SUM(CAMCAM!AC$164) + SUM(CAMCAM!AC$165) )</f>
        <v>0.9833264951190579</v>
      </c>
      <c r="AD71" s="437">
        <f>( SUM(CAMCAM!AD$156)) /  ( SUM(CAMCAM!AD$156) + SUM(CAMCAM!AD$163) + SUM(CAMCAM!AD$164) + SUM(CAMCAM!AD$165) )</f>
        <v>0.98350824686326677</v>
      </c>
      <c r="AE71" s="437">
        <f>( SUM(CAMCAM!AE$156)) /  ( SUM(CAMCAM!AE$156) + SUM(CAMCAM!AE$163) + SUM(CAMCAM!AE$164) + SUM(CAMCAM!AE$165) )</f>
        <v>0.98368096912412206</v>
      </c>
      <c r="AF71" s="437">
        <f>( SUM(CAMCAM!AF$156)) /  ( SUM(CAMCAM!AF$156) + SUM(CAMCAM!AF$163) + SUM(CAMCAM!AF$164) + SUM(CAMCAM!AF$165) )</f>
        <v>0.9838447805768008</v>
      </c>
      <c r="AG71" s="437">
        <f>( SUM(CAMCAM!AG$156)) /  ( SUM(CAMCAM!AG$156) + SUM(CAMCAM!AG$163) + SUM(CAMCAM!AG$164) + SUM(CAMCAM!AG$165) )</f>
        <v>0.98400047553575243</v>
      </c>
      <c r="AH71" s="437">
        <f>( SUM(CAMCAM!AH$156)) /  ( SUM(CAMCAM!AH$156) + SUM(CAMCAM!AH$163) + SUM(CAMCAM!AH$164) + SUM(CAMCAM!AH$165) )</f>
        <v>0.98414802768263099</v>
      </c>
      <c r="AI71" s="437">
        <f>( SUM(CAMCAM!AI$156)) /  ( SUM(CAMCAM!AI$156) + SUM(CAMCAM!AI$163) + SUM(CAMCAM!AI$164) + SUM(CAMCAM!AI$165) )</f>
        <v>0.98428815928388214</v>
      </c>
      <c r="AJ71" s="437">
        <f>( SUM(CAMCAM!AJ$156)) /  ( SUM(CAMCAM!AJ$156) + SUM(CAMCAM!AJ$163) + SUM(CAMCAM!AJ$164) + SUM(CAMCAM!AJ$165) )</f>
        <v>0.98442103831995109</v>
      </c>
      <c r="AK71" s="437">
        <f>( SUM(CAMCAM!AK$156)) /  ( SUM(CAMCAM!AK$156) + SUM(CAMCAM!AK$163) + SUM(CAMCAM!AK$164) + SUM(CAMCAM!AK$165) )</f>
        <v>0.98454697886085196</v>
      </c>
      <c r="AL71" s="437">
        <f>( SUM(CAMCAM!AL$156)) /  ( SUM(CAMCAM!AL$156) + SUM(CAMCAM!AL$163) + SUM(CAMCAM!AL$164) + SUM(CAMCAM!AL$165) )</f>
        <v>0.98462490565852923</v>
      </c>
      <c r="AM71" s="437">
        <f>( SUM(CAMCAM!AM$156)) /  ( SUM(CAMCAM!AM$156) + SUM(CAMCAM!AM$163) + SUM(CAMCAM!AM$164) + SUM(CAMCAM!AM$165) )</f>
        <v>0.98469887373847431</v>
      </c>
      <c r="AN71" s="437">
        <f>( SUM(CAMCAM!AN$156)) /  ( SUM(CAMCAM!AN$156) + SUM(CAMCAM!AN$163) + SUM(CAMCAM!AN$164) + SUM(CAMCAM!AN$165) )</f>
        <v>0.98477080166039954</v>
      </c>
      <c r="AO71" s="437">
        <f>( SUM(CAMCAM!AO$156)) /  ( SUM(CAMCAM!AO$156) + SUM(CAMCAM!AO$163) + SUM(CAMCAM!AO$164) + SUM(CAMCAM!AO$165) )</f>
        <v>0.98484028704620064</v>
      </c>
      <c r="AP71" s="437">
        <f>( SUM(CAMCAM!AP$156)) /  ( SUM(CAMCAM!AP$156) + SUM(CAMCAM!AP$163) + SUM(CAMCAM!AP$164) + SUM(CAMCAM!AP$165) )</f>
        <v>0.98490909944179983</v>
      </c>
      <c r="AQ71" s="437">
        <f>( SUM(CAMCAM!AQ$156)) /  ( SUM(CAMCAM!AQ$156) + SUM(CAMCAM!AQ$163) + SUM(CAMCAM!AQ$164) + SUM(CAMCAM!AQ$165) )</f>
        <v>0.98497787969244888</v>
      </c>
      <c r="AR71" s="437">
        <f>( SUM(CAMCAM!AR$156)) /  ( SUM(CAMCAM!AR$156) + SUM(CAMCAM!AR$163) + SUM(CAMCAM!AR$164) + SUM(CAMCAM!AR$165) )</f>
        <v>0.98504443953644027</v>
      </c>
      <c r="AS71" s="437">
        <f>( SUM(CAMCAM!AS$156)) /  ( SUM(CAMCAM!AS$156) + SUM(CAMCAM!AS$163) + SUM(CAMCAM!AS$164) + SUM(CAMCAM!AS$165) )</f>
        <v>0.98510613094146016</v>
      </c>
      <c r="AT71" s="437">
        <f>( SUM(CAMCAM!AT$156)) /  ( SUM(CAMCAM!AT$156) + SUM(CAMCAM!AT$163) + SUM(CAMCAM!AT$164) + SUM(CAMCAM!AT$165) )</f>
        <v>0.9851643444361059</v>
      </c>
      <c r="AU71" s="437">
        <f>( SUM(CAMCAM!AU$156)) /  ( SUM(CAMCAM!AU$156) + SUM(CAMCAM!AU$163) + SUM(CAMCAM!AU$164) + SUM(CAMCAM!AU$165) )</f>
        <v>0.98522154277699781</v>
      </c>
      <c r="AV71" s="437">
        <f>( SUM(CAMCAM!AV$156)) /  ( SUM(CAMCAM!AV$156) + SUM(CAMCAM!AV$163) + SUM(CAMCAM!AV$164) + SUM(CAMCAM!AV$165) )</f>
        <v>0.98527679896298037</v>
      </c>
      <c r="AW71" s="437">
        <f>( SUM(CAMCAM!AW$156)) /  ( SUM(CAMCAM!AW$156) + SUM(CAMCAM!AW$163) + SUM(CAMCAM!AW$164) + SUM(CAMCAM!AW$165) )</f>
        <v>0.98533001634333528</v>
      </c>
      <c r="AX71" s="437">
        <f>( SUM(CAMCAM!AX$156)) /  ( SUM(CAMCAM!AX$156) + SUM(CAMCAM!AX$163) + SUM(CAMCAM!AX$164) + SUM(CAMCAM!AX$165) )</f>
        <v>0.98538255798223673</v>
      </c>
      <c r="AY71" s="437">
        <f>( SUM(CAMCAM!AY$156)) /  ( SUM(CAMCAM!AY$156) + SUM(CAMCAM!AY$163) + SUM(CAMCAM!AY$164) + SUM(CAMCAM!AY$165) )</f>
        <v>0.98543502797609828</v>
      </c>
      <c r="AZ71" s="437">
        <f>( SUM(CAMCAM!AZ$156)) /  ( SUM(CAMCAM!AZ$156) + SUM(CAMCAM!AZ$163) + SUM(CAMCAM!AZ$164) + SUM(CAMCAM!AZ$165) )</f>
        <v>0.98548779905431172</v>
      </c>
      <c r="BA71" s="437">
        <f>( SUM(CAMCAM!BA$156)) /  ( SUM(CAMCAM!BA$156) + SUM(CAMCAM!BA$163) + SUM(CAMCAM!BA$164) + SUM(CAMCAM!BA$165) )</f>
        <v>0.98554080479138095</v>
      </c>
      <c r="BB71" s="437">
        <f>( SUM(CAMCAM!BB$156)) /  ( SUM(CAMCAM!BB$156) + SUM(CAMCAM!BB$163) + SUM(CAMCAM!BB$164) + SUM(CAMCAM!BB$165) )</f>
        <v>0.98559291338432353</v>
      </c>
      <c r="BC71" s="437">
        <f>( SUM(CAMCAM!BC$156)) /  ( SUM(CAMCAM!BC$156) + SUM(CAMCAM!BC$163) + SUM(CAMCAM!BC$164) + SUM(CAMCAM!BC$165) )</f>
        <v>0.98564365688085653</v>
      </c>
      <c r="BD71" s="437">
        <f>( SUM(CAMCAM!BD$156)) /  ( SUM(CAMCAM!BD$156) + SUM(CAMCAM!BD$163) + SUM(CAMCAM!BD$164) + SUM(CAMCAM!BD$165) )</f>
        <v>0.98569419384892498</v>
      </c>
      <c r="BE71" s="437">
        <f>( SUM(CAMCAM!BE$156)) /  ( SUM(CAMCAM!BE$156) + SUM(CAMCAM!BE$163) + SUM(CAMCAM!BE$164) + SUM(CAMCAM!BE$165) )</f>
        <v>0.98574439781528611</v>
      </c>
      <c r="BF71" s="437">
        <f>( SUM(CAMCAM!BF$156)) /  ( SUM(CAMCAM!BF$156) + SUM(CAMCAM!BF$163) + SUM(CAMCAM!BF$164) + SUM(CAMCAM!BF$165) )</f>
        <v>0.98579442266879624</v>
      </c>
      <c r="BG71" s="437">
        <f>( SUM(CAMCAM!BG$156)) /  ( SUM(CAMCAM!BG$156) + SUM(CAMCAM!BG$163) + SUM(CAMCAM!BG$164) + SUM(CAMCAM!BG$165) )</f>
        <v>0.98584448722747819</v>
      </c>
      <c r="BH71" s="437">
        <f>( SUM(CAMCAM!BH$156)) /  ( SUM(CAMCAM!BH$156) + SUM(CAMCAM!BH$163) + SUM(CAMCAM!BH$164) + SUM(CAMCAM!BH$165) )</f>
        <v>0.98589473615521728</v>
      </c>
      <c r="BI71" s="437">
        <f>( SUM(CAMCAM!BI$156)) /  ( SUM(CAMCAM!BI$156) + SUM(CAMCAM!BI$163) + SUM(CAMCAM!BI$164) + SUM(CAMCAM!BI$165) )</f>
        <v>0.98594483335944283</v>
      </c>
      <c r="BJ71" s="437">
        <f>( SUM(CAMCAM!BJ$156)) /  ( SUM(CAMCAM!BJ$156) + SUM(CAMCAM!BJ$163) + SUM(CAMCAM!BJ$164) + SUM(CAMCAM!BJ$165) )</f>
        <v>0.98599417983465998</v>
      </c>
      <c r="BK71" s="437">
        <f>( SUM(CAMCAM!BK$156)) /  ( SUM(CAMCAM!BK$156) + SUM(CAMCAM!BK$163) + SUM(CAMCAM!BK$164) + SUM(CAMCAM!BK$165) )</f>
        <v>0.9860435367823327</v>
      </c>
      <c r="BL71" s="437">
        <f>( SUM(CAMCAM!BL$156)) /  ( SUM(CAMCAM!BL$156) + SUM(CAMCAM!BL$163) + SUM(CAMCAM!BL$164) + SUM(CAMCAM!BL$165) )</f>
        <v>0.98609204149964802</v>
      </c>
      <c r="BM71" s="437">
        <f>( SUM(CAMCAM!BM$156)) /  ( SUM(CAMCAM!BM$156) + SUM(CAMCAM!BM$163) + SUM(CAMCAM!BM$164) + SUM(CAMCAM!BM$165) )</f>
        <v>0.98614024799201272</v>
      </c>
      <c r="BN71" s="437">
        <f>( SUM(CAMCAM!BN$156)) /  ( SUM(CAMCAM!BN$156) + SUM(CAMCAM!BN$163) + SUM(CAMCAM!BN$164) + SUM(CAMCAM!BN$165) )</f>
        <v>0.98618915935970231</v>
      </c>
      <c r="BO71" s="437">
        <f>( SUM(CAMCAM!BO$156)) /  ( SUM(CAMCAM!BO$156) + SUM(CAMCAM!BO$163) + SUM(CAMCAM!BO$164) + SUM(CAMCAM!BO$165) )</f>
        <v>0.98623837483482679</v>
      </c>
      <c r="BP71" s="437">
        <f>( SUM(CAMCAM!BP$156)) /  ( SUM(CAMCAM!BP$156) + SUM(CAMCAM!BP$163) + SUM(CAMCAM!BP$164) + SUM(CAMCAM!BP$165) )</f>
        <v>0.98628906905074842</v>
      </c>
      <c r="BQ71" s="437">
        <f>( SUM(CAMCAM!BQ$156)) /  ( SUM(CAMCAM!BQ$156) + SUM(CAMCAM!BQ$163) + SUM(CAMCAM!BQ$164) + SUM(CAMCAM!BQ$165) )</f>
        <v>0.98634063546626405</v>
      </c>
      <c r="BR71" s="437">
        <f>( SUM(CAMCAM!BR$156)) /  ( SUM(CAMCAM!BR$156) + SUM(CAMCAM!BR$163) + SUM(CAMCAM!BR$164) + SUM(CAMCAM!BR$165) )</f>
        <v>0.98639299719875495</v>
      </c>
      <c r="BS71" s="437">
        <f>( SUM(CAMCAM!BS$156)) /  ( SUM(CAMCAM!BS$156) + SUM(CAMCAM!BS$163) + SUM(CAMCAM!BS$164) + SUM(CAMCAM!BS$165) )</f>
        <v>0.98644511938990587</v>
      </c>
      <c r="BT71" s="437">
        <f>( SUM(CAMCAM!BT$156)) /  ( SUM(CAMCAM!BT$156) + SUM(CAMCAM!BT$163) + SUM(CAMCAM!BT$164) + SUM(CAMCAM!BT$165) )</f>
        <v>0.98649745537730527</v>
      </c>
      <c r="BU71" s="437">
        <f>( SUM(CAMCAM!BU$156)) /  ( SUM(CAMCAM!BU$156) + SUM(CAMCAM!BU$163) + SUM(CAMCAM!BU$164) + SUM(CAMCAM!BU$165) )</f>
        <v>0.98655019368657881</v>
      </c>
      <c r="BV71" s="437">
        <f>( SUM(CAMCAM!BV$156)) /  ( SUM(CAMCAM!BV$156) + SUM(CAMCAM!BV$163) + SUM(CAMCAM!BV$164) + SUM(CAMCAM!BV$165) )</f>
        <v>0.98660339195027291</v>
      </c>
      <c r="BW71" s="437">
        <f>( SUM(CAMCAM!BW$156)) /  ( SUM(CAMCAM!BW$156) + SUM(CAMCAM!BW$163) + SUM(CAMCAM!BW$164) + SUM(CAMCAM!BW$165) )</f>
        <v>0.98665623492532695</v>
      </c>
      <c r="BX71" s="437">
        <f>( SUM(CAMCAM!BX$156)) /  ( SUM(CAMCAM!BX$156) + SUM(CAMCAM!BX$163) + SUM(CAMCAM!BX$164) + SUM(CAMCAM!BX$165) )</f>
        <v>0.98670928856056739</v>
      </c>
      <c r="BY71" s="437">
        <f>( SUM(CAMCAM!BY$156)) /  ( SUM(CAMCAM!BY$156) + SUM(CAMCAM!BY$163) + SUM(CAMCAM!BY$164) + SUM(CAMCAM!BY$165) )</f>
        <v>0.98676267350491664</v>
      </c>
      <c r="BZ71" s="437">
        <f>( SUM(CAMCAM!BZ$156)) /  ( SUM(CAMCAM!BZ$156) + SUM(CAMCAM!BZ$163) + SUM(CAMCAM!BZ$164) + SUM(CAMCAM!BZ$165) )</f>
        <v>0.98681693273525706</v>
      </c>
      <c r="CA71" s="437">
        <f>( SUM(CAMCAM!CA$156)) /  ( SUM(CAMCAM!CA$156) + SUM(CAMCAM!CA$163) + SUM(CAMCAM!CA$164) + SUM(CAMCAM!CA$165) )</f>
        <v>0.98687108203650342</v>
      </c>
      <c r="CB71" s="437">
        <f>( SUM(CAMCAM!CB$156)) /  ( SUM(CAMCAM!CB$156) + SUM(CAMCAM!CB$163) + SUM(CAMCAM!CB$164) + SUM(CAMCAM!CB$165) )</f>
        <v>0.98692512518210096</v>
      </c>
      <c r="CC71" s="437">
        <f>( SUM(CAMCAM!CC$156)) /  ( SUM(CAMCAM!CC$156) + SUM(CAMCAM!CC$163) + SUM(CAMCAM!CC$164) + SUM(CAMCAM!CC$165) )</f>
        <v>0.98697799358417959</v>
      </c>
      <c r="CD71" s="437">
        <f>( SUM(CAMCAM!CD$156)) /  ( SUM(CAMCAM!CD$156) + SUM(CAMCAM!CD$163) + SUM(CAMCAM!CD$164) + SUM(CAMCAM!CD$165) )</f>
        <v>0.98703077811658113</v>
      </c>
      <c r="CE71" s="437">
        <f>( SUM(CAMCAM!CE$156)) /  ( SUM(CAMCAM!CE$156) + SUM(CAMCAM!CE$163) + SUM(CAMCAM!CE$164) + SUM(CAMCAM!CE$165) )</f>
        <v>0.9870831293649962</v>
      </c>
      <c r="CF71" s="437">
        <f>( SUM(CAMCAM!CF$156)) /  ( SUM(CAMCAM!CF$156) + SUM(CAMCAM!CF$163) + SUM(CAMCAM!CF$164) + SUM(CAMCAM!CF$165) )</f>
        <v>0.98713482434293809</v>
      </c>
      <c r="CG71" s="437">
        <f>( SUM(CAMCAM!CG$156)) /  ( SUM(CAMCAM!CG$156) + SUM(CAMCAM!CG$163) + SUM(CAMCAM!CG$164) + SUM(CAMCAM!CG$165) )</f>
        <v>0.98718500941368648</v>
      </c>
      <c r="CH71" s="437">
        <f>( SUM(CAMCAM!CH$156)) /  ( SUM(CAMCAM!CH$156) + SUM(CAMCAM!CH$163) + SUM(CAMCAM!CH$164) + SUM(CAMCAM!CH$165) )</f>
        <v>0.98723400417477936</v>
      </c>
      <c r="CI71" s="437">
        <f>( SUM(CAMCAM!CI$156)) /  ( SUM(CAMCAM!CI$156) + SUM(CAMCAM!CI$163) + SUM(CAMCAM!CI$164) + SUM(CAMCAM!CI$165) )</f>
        <v>0.9872818908070411</v>
      </c>
      <c r="CJ71" s="437"/>
    </row>
    <row r="72" spans="2:88" ht="28.5" thickBot="1" x14ac:dyDescent="0.4">
      <c r="B72" s="1219" t="s">
        <v>750</v>
      </c>
      <c r="C72" s="1220" t="s">
        <v>729</v>
      </c>
      <c r="D72" s="524" t="s">
        <v>751</v>
      </c>
      <c r="E72" s="1220" t="s">
        <v>305</v>
      </c>
      <c r="F72" s="525">
        <v>2</v>
      </c>
      <c r="G72" s="438">
        <f>SUM(CAMCAM!G$133) + SUM(CAMCAM!G$135) - SUM(CAMCAM!G$145) - SUM(CAMCAM!G$146)</f>
        <v>22.470000000000002</v>
      </c>
      <c r="H72" s="438">
        <f>SUM(CAMCAM!H$133) + SUM(CAMCAM!H$135) - SUM(CAMCAM!H$145) - SUM(CAMCAM!H$146)</f>
        <v>23.903559690000005</v>
      </c>
      <c r="I72" s="438">
        <f>SUM(CAMCAM!I$133) + SUM(CAMCAM!I$135) - SUM(CAMCAM!I$145) - SUM(CAMCAM!I$146)</f>
        <v>24.547230610000003</v>
      </c>
      <c r="J72" s="438">
        <f>SUM(CAMCAM!J$133) + SUM(CAMCAM!J$135) - SUM(CAMCAM!J$145) - SUM(CAMCAM!J$146)</f>
        <v>25.587165660000004</v>
      </c>
      <c r="K72" s="438">
        <f>SUM(CAMCAM!K$133) + SUM(CAMCAM!K$135) - SUM(CAMCAM!K$145) - SUM(CAMCAM!K$146)</f>
        <v>26.848108380000003</v>
      </c>
      <c r="L72" s="438">
        <f>SUM(CAMCAM!L$133) + SUM(CAMCAM!L$135) - SUM(CAMCAM!L$145) - SUM(CAMCAM!L$146)</f>
        <v>27.821185670000002</v>
      </c>
      <c r="M72" s="438">
        <f>SUM(CAMCAM!M$133) + SUM(CAMCAM!M$135) - SUM(CAMCAM!M$145) - SUM(CAMCAM!M$146)</f>
        <v>27.999952140000001</v>
      </c>
      <c r="N72" s="438">
        <f>SUM(CAMCAM!N$133) + SUM(CAMCAM!N$135) - SUM(CAMCAM!N$145) - SUM(CAMCAM!N$146)</f>
        <v>28.197201370000002</v>
      </c>
      <c r="O72" s="438">
        <f>SUM(CAMCAM!O$133) + SUM(CAMCAM!O$135) - SUM(CAMCAM!O$145) - SUM(CAMCAM!O$146)</f>
        <v>28.390065119999999</v>
      </c>
      <c r="P72" s="438">
        <f>SUM(CAMCAM!P$133) + SUM(CAMCAM!P$135) - SUM(CAMCAM!P$145) - SUM(CAMCAM!P$146)</f>
        <v>28.528994180000002</v>
      </c>
      <c r="Q72" s="438">
        <f>SUM(CAMCAM!Q$133) + SUM(CAMCAM!Q$135) - SUM(CAMCAM!Q$145) - SUM(CAMCAM!Q$146)</f>
        <v>28.622555440000003</v>
      </c>
      <c r="R72" s="438">
        <f>SUM(CAMCAM!R$133) + SUM(CAMCAM!R$135) - SUM(CAMCAM!R$145) - SUM(CAMCAM!R$146)</f>
        <v>28.851617170000001</v>
      </c>
      <c r="S72" s="438">
        <f>SUM(CAMCAM!S$133) + SUM(CAMCAM!S$135) - SUM(CAMCAM!S$145) - SUM(CAMCAM!S$146)</f>
        <v>29.029802210000003</v>
      </c>
      <c r="T72" s="438">
        <f>SUM(CAMCAM!T$133) + SUM(CAMCAM!T$135) - SUM(CAMCAM!T$145) - SUM(CAMCAM!T$146)</f>
        <v>29.175029350000003</v>
      </c>
      <c r="U72" s="438">
        <f>SUM(CAMCAM!U$133) + SUM(CAMCAM!U$135) - SUM(CAMCAM!U$145) - SUM(CAMCAM!U$146)</f>
        <v>29.367928450000004</v>
      </c>
      <c r="V72" s="438">
        <f>SUM(CAMCAM!V$133) + SUM(CAMCAM!V$135) - SUM(CAMCAM!V$145) - SUM(CAMCAM!V$146)</f>
        <v>29.493209850000007</v>
      </c>
      <c r="W72" s="438">
        <f>SUM(CAMCAM!W$133) + SUM(CAMCAM!W$135) - SUM(CAMCAM!W$145) - SUM(CAMCAM!W$146)</f>
        <v>29.977829460000002</v>
      </c>
      <c r="X72" s="438">
        <f>SUM(CAMCAM!X$133) + SUM(CAMCAM!X$135) - SUM(CAMCAM!X$145) - SUM(CAMCAM!X$146)</f>
        <v>30.470517380000004</v>
      </c>
      <c r="Y72" s="438">
        <f>SUM(CAMCAM!Y$133) + SUM(CAMCAM!Y$135) - SUM(CAMCAM!Y$145) - SUM(CAMCAM!Y$146)</f>
        <v>30.939892590000007</v>
      </c>
      <c r="Z72" s="438">
        <f>SUM(CAMCAM!Z$133) + SUM(CAMCAM!Z$135) - SUM(CAMCAM!Z$145) - SUM(CAMCAM!Z$146)</f>
        <v>31.372552450000008</v>
      </c>
      <c r="AA72" s="438">
        <f>SUM(CAMCAM!AA$133) + SUM(CAMCAM!AA$135) - SUM(CAMCAM!AA$145) - SUM(CAMCAM!AA$146)</f>
        <v>31.449511984000001</v>
      </c>
      <c r="AB72" s="438">
        <f>SUM(CAMCAM!AB$133) + SUM(CAMCAM!AB$135) - SUM(CAMCAM!AB$145) - SUM(CAMCAM!AB$146)</f>
        <v>31.526471519000005</v>
      </c>
      <c r="AC72" s="438">
        <f>SUM(CAMCAM!AC$133) + SUM(CAMCAM!AC$135) - SUM(CAMCAM!AC$145) - SUM(CAMCAM!AC$146)</f>
        <v>31.603431053000005</v>
      </c>
      <c r="AD72" s="438">
        <f>SUM(CAMCAM!AD$133) + SUM(CAMCAM!AD$135) - SUM(CAMCAM!AD$145) - SUM(CAMCAM!AD$146)</f>
        <v>31.680390588000002</v>
      </c>
      <c r="AE72" s="438">
        <f>SUM(CAMCAM!AE$133) + SUM(CAMCAM!AE$135) - SUM(CAMCAM!AE$145) - SUM(CAMCAM!AE$146)</f>
        <v>31.757350122000002</v>
      </c>
      <c r="AF72" s="438">
        <f>SUM(CAMCAM!AF$133) + SUM(CAMCAM!AF$135) - SUM(CAMCAM!AF$145) - SUM(CAMCAM!AF$146)</f>
        <v>31.834309657000002</v>
      </c>
      <c r="AG72" s="438">
        <f>SUM(CAMCAM!AG$133) + SUM(CAMCAM!AG$135) - SUM(CAMCAM!AG$145) - SUM(CAMCAM!AG$146)</f>
        <v>31.911269190999999</v>
      </c>
      <c r="AH72" s="438">
        <f>SUM(CAMCAM!AH$133) + SUM(CAMCAM!AH$135) - SUM(CAMCAM!AH$145) - SUM(CAMCAM!AH$146)</f>
        <v>31.988228725999999</v>
      </c>
      <c r="AI72" s="438">
        <f>SUM(CAMCAM!AI$133) + SUM(CAMCAM!AI$135) - SUM(CAMCAM!AI$145) - SUM(CAMCAM!AI$146)</f>
        <v>32.065188259999999</v>
      </c>
      <c r="AJ72" s="438">
        <f>SUM(CAMCAM!AJ$133) + SUM(CAMCAM!AJ$135) - SUM(CAMCAM!AJ$145) - SUM(CAMCAM!AJ$146)</f>
        <v>32.142147794999993</v>
      </c>
      <c r="AK72" s="438">
        <f>SUM(CAMCAM!AK$133) + SUM(CAMCAM!AK$135) - SUM(CAMCAM!AK$145) - SUM(CAMCAM!AK$146)</f>
        <v>32.219107328999996</v>
      </c>
      <c r="AL72" s="438">
        <f>SUM(CAMCAM!AL$133) + SUM(CAMCAM!AL$135) - SUM(CAMCAM!AL$145) - SUM(CAMCAM!AL$146)</f>
        <v>32.296066863999997</v>
      </c>
      <c r="AM72" s="438">
        <f>SUM(CAMCAM!AM$133) + SUM(CAMCAM!AM$135) - SUM(CAMCAM!AM$145) - SUM(CAMCAM!AM$146)</f>
        <v>32.373026398</v>
      </c>
      <c r="AN72" s="438">
        <f>SUM(CAMCAM!AN$133) + SUM(CAMCAM!AN$135) - SUM(CAMCAM!AN$145) - SUM(CAMCAM!AN$146)</f>
        <v>32.449985932999994</v>
      </c>
      <c r="AO72" s="438">
        <f>SUM(CAMCAM!AO$133) + SUM(CAMCAM!AO$135) - SUM(CAMCAM!AO$145) - SUM(CAMCAM!AO$146)</f>
        <v>32.526945466999997</v>
      </c>
      <c r="AP72" s="438">
        <f>SUM(CAMCAM!AP$133) + SUM(CAMCAM!AP$135) - SUM(CAMCAM!AP$145) - SUM(CAMCAM!AP$146)</f>
        <v>32.603905001000001</v>
      </c>
      <c r="AQ72" s="438">
        <f>SUM(CAMCAM!AQ$133) + SUM(CAMCAM!AQ$135) - SUM(CAMCAM!AQ$145) - SUM(CAMCAM!AQ$146)</f>
        <v>32.680864535999994</v>
      </c>
      <c r="AR72" s="438">
        <f>SUM(CAMCAM!AR$133) + SUM(CAMCAM!AR$135) - SUM(CAMCAM!AR$145) - SUM(CAMCAM!AR$146)</f>
        <v>32.757824069999998</v>
      </c>
      <c r="AS72" s="438">
        <f>SUM(CAMCAM!AS$133) + SUM(CAMCAM!AS$135) - SUM(CAMCAM!AS$145) - SUM(CAMCAM!AS$146)</f>
        <v>32.834783604999998</v>
      </c>
      <c r="AT72" s="438">
        <f>SUM(CAMCAM!AT$133) + SUM(CAMCAM!AT$135) - SUM(CAMCAM!AT$145) - SUM(CAMCAM!AT$146)</f>
        <v>32.911743138999995</v>
      </c>
      <c r="AU72" s="438">
        <f>SUM(CAMCAM!AU$133) + SUM(CAMCAM!AU$135) - SUM(CAMCAM!AU$145) - SUM(CAMCAM!AU$146)</f>
        <v>32.988702683999996</v>
      </c>
      <c r="AV72" s="438">
        <f>SUM(CAMCAM!AV$133) + SUM(CAMCAM!AV$135) - SUM(CAMCAM!AV$145) - SUM(CAMCAM!AV$146)</f>
        <v>33.065662218</v>
      </c>
      <c r="AW72" s="438">
        <f>SUM(CAMCAM!AW$133) + SUM(CAMCAM!AW$135) - SUM(CAMCAM!AW$145) - SUM(CAMCAM!AW$146)</f>
        <v>33.142621752999993</v>
      </c>
      <c r="AX72" s="438">
        <f>SUM(CAMCAM!AX$133) + SUM(CAMCAM!AX$135) - SUM(CAMCAM!AX$145) - SUM(CAMCAM!AX$146)</f>
        <v>33.219581286999997</v>
      </c>
      <c r="AY72" s="438">
        <f>SUM(CAMCAM!AY$133) + SUM(CAMCAM!AY$135) - SUM(CAMCAM!AY$145) - SUM(CAMCAM!AY$146)</f>
        <v>33.296540821999997</v>
      </c>
      <c r="AZ72" s="438">
        <f>SUM(CAMCAM!AZ$133) + SUM(CAMCAM!AZ$135) - SUM(CAMCAM!AZ$145) - SUM(CAMCAM!AZ$146)</f>
        <v>33.373500355999994</v>
      </c>
      <c r="BA72" s="438">
        <f>SUM(CAMCAM!BA$133) + SUM(CAMCAM!BA$135) - SUM(CAMCAM!BA$145) - SUM(CAMCAM!BA$146)</f>
        <v>33.450459890999994</v>
      </c>
      <c r="BB72" s="438">
        <f>SUM(CAMCAM!BB$133) + SUM(CAMCAM!BB$135) - SUM(CAMCAM!BB$145) - SUM(CAMCAM!BB$146)</f>
        <v>33.527419424999998</v>
      </c>
      <c r="BC72" s="438">
        <f>SUM(CAMCAM!BC$133) + SUM(CAMCAM!BC$135) - SUM(CAMCAM!BC$145) - SUM(CAMCAM!BC$146)</f>
        <v>33.604378959000002</v>
      </c>
      <c r="BD72" s="438">
        <f>SUM(CAMCAM!BD$133) + SUM(CAMCAM!BD$135) - SUM(CAMCAM!BD$145) - SUM(CAMCAM!BD$146)</f>
        <v>33.681338493999995</v>
      </c>
      <c r="BE72" s="438">
        <f>SUM(CAMCAM!BE$133) + SUM(CAMCAM!BE$135) - SUM(CAMCAM!BE$145) - SUM(CAMCAM!BE$146)</f>
        <v>33.758298027999999</v>
      </c>
      <c r="BF72" s="438">
        <f>SUM(CAMCAM!BF$133) + SUM(CAMCAM!BF$135) - SUM(CAMCAM!BF$145) - SUM(CAMCAM!BF$146)</f>
        <v>33.835257562999999</v>
      </c>
      <c r="BG72" s="438">
        <f>SUM(CAMCAM!BG$133) + SUM(CAMCAM!BG$135) - SUM(CAMCAM!BG$145) - SUM(CAMCAM!BG$146)</f>
        <v>33.912217096999996</v>
      </c>
      <c r="BH72" s="438">
        <f>SUM(CAMCAM!BH$133) + SUM(CAMCAM!BH$135) - SUM(CAMCAM!BH$145) - SUM(CAMCAM!BH$146)</f>
        <v>33.989176631999996</v>
      </c>
      <c r="BI72" s="438">
        <f>SUM(CAMCAM!BI$133) + SUM(CAMCAM!BI$135) - SUM(CAMCAM!BI$145) - SUM(CAMCAM!BI$146)</f>
        <v>34.066136166</v>
      </c>
      <c r="BJ72" s="438">
        <f>SUM(CAMCAM!BJ$133) + SUM(CAMCAM!BJ$135) - SUM(CAMCAM!BJ$145) - SUM(CAMCAM!BJ$146)</f>
        <v>34.143095700999993</v>
      </c>
      <c r="BK72" s="438">
        <f>SUM(CAMCAM!BK$133) + SUM(CAMCAM!BK$135) - SUM(CAMCAM!BK$145) - SUM(CAMCAM!BK$146)</f>
        <v>34.220055234999997</v>
      </c>
      <c r="BL72" s="438">
        <f>SUM(CAMCAM!BL$133) + SUM(CAMCAM!BL$135) - SUM(CAMCAM!BL$145) - SUM(CAMCAM!BL$146)</f>
        <v>34.297014769999997</v>
      </c>
      <c r="BM72" s="438">
        <f>SUM(CAMCAM!BM$133) + SUM(CAMCAM!BM$135) - SUM(CAMCAM!BM$145) - SUM(CAMCAM!BM$146)</f>
        <v>34.373974304000001</v>
      </c>
      <c r="BN72" s="438">
        <f>SUM(CAMCAM!BN$133) + SUM(CAMCAM!BN$135) - SUM(CAMCAM!BN$145) - SUM(CAMCAM!BN$146)</f>
        <v>34.450933838999994</v>
      </c>
      <c r="BO72" s="438">
        <f>SUM(CAMCAM!BO$133) + SUM(CAMCAM!BO$135) - SUM(CAMCAM!BO$145) - SUM(CAMCAM!BO$146)</f>
        <v>34.527893372999998</v>
      </c>
      <c r="BP72" s="438">
        <f>SUM(CAMCAM!BP$133) + SUM(CAMCAM!BP$135) - SUM(CAMCAM!BP$145) - SUM(CAMCAM!BP$146)</f>
        <v>34.604852907999998</v>
      </c>
      <c r="BQ72" s="438">
        <f>SUM(CAMCAM!BQ$133) + SUM(CAMCAM!BQ$135) - SUM(CAMCAM!BQ$145) - SUM(CAMCAM!BQ$146)</f>
        <v>34.681812441999995</v>
      </c>
      <c r="BR72" s="438">
        <f>SUM(CAMCAM!BR$133) + SUM(CAMCAM!BR$135) - SUM(CAMCAM!BR$145) - SUM(CAMCAM!BR$146)</f>
        <v>34.758771975999998</v>
      </c>
      <c r="BS72" s="438">
        <f>SUM(CAMCAM!BS$133) + SUM(CAMCAM!BS$135) - SUM(CAMCAM!BS$145) - SUM(CAMCAM!BS$146)</f>
        <v>34.835731510999999</v>
      </c>
      <c r="BT72" s="438">
        <f>SUM(CAMCAM!BT$133) + SUM(CAMCAM!BT$135) - SUM(CAMCAM!BT$145) - SUM(CAMCAM!BT$146)</f>
        <v>34.912691044999995</v>
      </c>
      <c r="BU72" s="438">
        <f>SUM(CAMCAM!BU$133) + SUM(CAMCAM!BU$135) - SUM(CAMCAM!BU$145) - SUM(CAMCAM!BU$146)</f>
        <v>34.989650579999996</v>
      </c>
      <c r="BV72" s="438">
        <f>SUM(CAMCAM!BV$133) + SUM(CAMCAM!BV$135) - SUM(CAMCAM!BV$145) - SUM(CAMCAM!BV$146)</f>
        <v>35.066610113999999</v>
      </c>
      <c r="BW72" s="438">
        <f>SUM(CAMCAM!BW$133) + SUM(CAMCAM!BW$135) - SUM(CAMCAM!BW$145) - SUM(CAMCAM!BW$146)</f>
        <v>35.143569649</v>
      </c>
      <c r="BX72" s="438">
        <f>SUM(CAMCAM!BX$133) + SUM(CAMCAM!BX$135) - SUM(CAMCAM!BX$145) - SUM(CAMCAM!BX$146)</f>
        <v>35.220529182999996</v>
      </c>
      <c r="BY72" s="438">
        <f>SUM(CAMCAM!BY$133) + SUM(CAMCAM!BY$135) - SUM(CAMCAM!BY$145) - SUM(CAMCAM!BY$146)</f>
        <v>35.297488717999997</v>
      </c>
      <c r="BZ72" s="438">
        <f>SUM(CAMCAM!BZ$133) + SUM(CAMCAM!BZ$135) - SUM(CAMCAM!BZ$145) - SUM(CAMCAM!BZ$146)</f>
        <v>35.374448252000001</v>
      </c>
      <c r="CA72" s="438">
        <f>SUM(CAMCAM!CA$133) + SUM(CAMCAM!CA$135) - SUM(CAMCAM!CA$145) - SUM(CAMCAM!CA$146)</f>
        <v>35.451407786999994</v>
      </c>
      <c r="CB72" s="438">
        <f>SUM(CAMCAM!CB$133) + SUM(CAMCAM!CB$135) - SUM(CAMCAM!CB$145) - SUM(CAMCAM!CB$146)</f>
        <v>35.528367320999998</v>
      </c>
      <c r="CC72" s="438">
        <f>SUM(CAMCAM!CC$133) + SUM(CAMCAM!CC$135) - SUM(CAMCAM!CC$145) - SUM(CAMCAM!CC$146)</f>
        <v>35.605326855999998</v>
      </c>
      <c r="CD72" s="438">
        <f>SUM(CAMCAM!CD$133) + SUM(CAMCAM!CD$135) - SUM(CAMCAM!CD$145) - SUM(CAMCAM!CD$146)</f>
        <v>35.682286389999994</v>
      </c>
      <c r="CE72" s="438">
        <f>SUM(CAMCAM!CE$133) + SUM(CAMCAM!CE$135) - SUM(CAMCAM!CE$145) - SUM(CAMCAM!CE$146)</f>
        <v>35.759245924999995</v>
      </c>
      <c r="CF72" s="438">
        <f>SUM(CAMCAM!CF$133) + SUM(CAMCAM!CF$135) - SUM(CAMCAM!CF$145) - SUM(CAMCAM!CF$146)</f>
        <v>35.836205458999999</v>
      </c>
      <c r="CG72" s="438">
        <f>SUM(CAMCAM!CG$133) + SUM(CAMCAM!CG$135) - SUM(CAMCAM!CG$145) - SUM(CAMCAM!CG$146)</f>
        <v>35.913164992999995</v>
      </c>
      <c r="CH72" s="438">
        <f>SUM(CAMCAM!CH$133) + SUM(CAMCAM!CH$135) - SUM(CAMCAM!CH$145) - SUM(CAMCAM!CH$146)</f>
        <v>35.913164992999995</v>
      </c>
      <c r="CI72" s="438">
        <f>SUM(CAMCAM!CI$133) + SUM(CAMCAM!CI$135) - SUM(CAMCAM!CI$145) - SUM(CAMCAM!CI$146)</f>
        <v>35.913164992999995</v>
      </c>
      <c r="CJ72" s="438"/>
    </row>
    <row r="73" spans="2:88" ht="14.5" thickBot="1" x14ac:dyDescent="0.4">
      <c r="B73" s="1216" t="s">
        <v>752</v>
      </c>
      <c r="C73" s="568" t="s">
        <v>390</v>
      </c>
      <c r="D73" s="569" t="s">
        <v>753</v>
      </c>
      <c r="E73" s="568" t="s">
        <v>305</v>
      </c>
      <c r="F73" s="570">
        <v>2</v>
      </c>
      <c r="G73" s="435">
        <f>CAMCAM!G151</f>
        <v>13.5</v>
      </c>
      <c r="H73" s="435">
        <f>CAMCAM!H151</f>
        <v>13.5</v>
      </c>
      <c r="I73" s="435">
        <f>CAMCAM!I151</f>
        <v>13.510000000000002</v>
      </c>
      <c r="J73" s="435">
        <f>CAMCAM!J151</f>
        <v>13.510000000000002</v>
      </c>
      <c r="K73" s="435">
        <f>CAMCAM!K151</f>
        <v>13.510000000000002</v>
      </c>
      <c r="L73" s="435">
        <f>CAMCAM!L151</f>
        <v>13.2</v>
      </c>
      <c r="M73" s="435">
        <f>CAMCAM!M151</f>
        <v>12.719999999999999</v>
      </c>
      <c r="N73" s="435">
        <f>CAMCAM!N151</f>
        <v>12.240000000000002</v>
      </c>
      <c r="O73" s="435">
        <f>CAMCAM!O151</f>
        <v>11.76</v>
      </c>
      <c r="P73" s="435">
        <f>CAMCAM!P151</f>
        <v>11.280000000000001</v>
      </c>
      <c r="Q73" s="435">
        <f>CAMCAM!Q151</f>
        <v>10.8</v>
      </c>
      <c r="R73" s="435">
        <f>CAMCAM!R151</f>
        <v>10.458</v>
      </c>
      <c r="S73" s="435">
        <f>CAMCAM!S151</f>
        <v>10.116</v>
      </c>
      <c r="T73" s="435">
        <f>CAMCAM!T151</f>
        <v>9.7740000000000009</v>
      </c>
      <c r="U73" s="435">
        <f>CAMCAM!U151</f>
        <v>9.4320000000000004</v>
      </c>
      <c r="V73" s="435">
        <f>CAMCAM!V151</f>
        <v>9.09</v>
      </c>
      <c r="W73" s="435">
        <f>CAMCAM!W151</f>
        <v>8.7319999999999993</v>
      </c>
      <c r="X73" s="435">
        <f>CAMCAM!X151</f>
        <v>8.3739999999999988</v>
      </c>
      <c r="Y73" s="435">
        <f>CAMCAM!Y151</f>
        <v>8.016</v>
      </c>
      <c r="Z73" s="435">
        <f>CAMCAM!Z151</f>
        <v>7.6580000000000004</v>
      </c>
      <c r="AA73" s="435">
        <f>CAMCAM!AA151</f>
        <v>7.3</v>
      </c>
      <c r="AB73" s="435">
        <f>CAMCAM!AB151</f>
        <v>7.3</v>
      </c>
      <c r="AC73" s="435">
        <f>CAMCAM!AC151</f>
        <v>7.3</v>
      </c>
      <c r="AD73" s="435">
        <f>CAMCAM!AD151</f>
        <v>7.3</v>
      </c>
      <c r="AE73" s="435">
        <f>CAMCAM!AE151</f>
        <v>7.3</v>
      </c>
      <c r="AF73" s="435">
        <f>CAMCAM!AF151</f>
        <v>7.3</v>
      </c>
      <c r="AG73" s="435">
        <f>CAMCAM!AG151</f>
        <v>7.3</v>
      </c>
      <c r="AH73" s="435">
        <f>CAMCAM!AH151</f>
        <v>7.3</v>
      </c>
      <c r="AI73" s="435">
        <f>CAMCAM!AI151</f>
        <v>7.3</v>
      </c>
      <c r="AJ73" s="435">
        <f>CAMCAM!AJ151</f>
        <v>7.3</v>
      </c>
      <c r="AK73" s="435">
        <f>CAMCAM!AK151</f>
        <v>7.3</v>
      </c>
      <c r="AL73" s="435">
        <f>CAMCAM!AL151</f>
        <v>7.3</v>
      </c>
      <c r="AM73" s="435">
        <f>CAMCAM!AM151</f>
        <v>7.3</v>
      </c>
      <c r="AN73" s="435">
        <f>CAMCAM!AN151</f>
        <v>7.3</v>
      </c>
      <c r="AO73" s="435">
        <f>CAMCAM!AO151</f>
        <v>7.3</v>
      </c>
      <c r="AP73" s="435">
        <f>CAMCAM!AP151</f>
        <v>7.3</v>
      </c>
      <c r="AQ73" s="435">
        <f>CAMCAM!AQ151</f>
        <v>7.3</v>
      </c>
      <c r="AR73" s="435">
        <f>CAMCAM!AR151</f>
        <v>7.3</v>
      </c>
      <c r="AS73" s="435">
        <f>CAMCAM!AS151</f>
        <v>7.3</v>
      </c>
      <c r="AT73" s="435">
        <f>CAMCAM!AT151</f>
        <v>7.3</v>
      </c>
      <c r="AU73" s="435">
        <f>CAMCAM!AU151</f>
        <v>7.3</v>
      </c>
      <c r="AV73" s="435">
        <f>CAMCAM!AV151</f>
        <v>7.3</v>
      </c>
      <c r="AW73" s="435">
        <f>CAMCAM!AW151</f>
        <v>7.3</v>
      </c>
      <c r="AX73" s="435">
        <f>CAMCAM!AX151</f>
        <v>7.3</v>
      </c>
      <c r="AY73" s="435">
        <f>CAMCAM!AY151</f>
        <v>7.3</v>
      </c>
      <c r="AZ73" s="435">
        <f>CAMCAM!AZ151</f>
        <v>7.3</v>
      </c>
      <c r="BA73" s="435">
        <f>CAMCAM!BA151</f>
        <v>7.3</v>
      </c>
      <c r="BB73" s="435">
        <f>CAMCAM!BB151</f>
        <v>7.3</v>
      </c>
      <c r="BC73" s="435">
        <f>CAMCAM!BC151</f>
        <v>7.3</v>
      </c>
      <c r="BD73" s="435">
        <f>CAMCAM!BD151</f>
        <v>7.3</v>
      </c>
      <c r="BE73" s="435">
        <f>CAMCAM!BE151</f>
        <v>7.3</v>
      </c>
      <c r="BF73" s="435">
        <f>CAMCAM!BF151</f>
        <v>7.3</v>
      </c>
      <c r="BG73" s="435">
        <f>CAMCAM!BG151</f>
        <v>7.3</v>
      </c>
      <c r="BH73" s="435">
        <f>CAMCAM!BH151</f>
        <v>7.3</v>
      </c>
      <c r="BI73" s="435">
        <f>CAMCAM!BI151</f>
        <v>7.3</v>
      </c>
      <c r="BJ73" s="435">
        <f>CAMCAM!BJ151</f>
        <v>7.3</v>
      </c>
      <c r="BK73" s="435">
        <f>CAMCAM!BK151</f>
        <v>7.3</v>
      </c>
      <c r="BL73" s="435">
        <f>CAMCAM!BL151</f>
        <v>7.3</v>
      </c>
      <c r="BM73" s="435">
        <f>CAMCAM!BM151</f>
        <v>7.3</v>
      </c>
      <c r="BN73" s="435">
        <f>CAMCAM!BN151</f>
        <v>7.3</v>
      </c>
      <c r="BO73" s="435">
        <f>CAMCAM!BO151</f>
        <v>7.3</v>
      </c>
      <c r="BP73" s="435">
        <f>CAMCAM!BP151</f>
        <v>7.3</v>
      </c>
      <c r="BQ73" s="435">
        <f>CAMCAM!BQ151</f>
        <v>7.3</v>
      </c>
      <c r="BR73" s="435">
        <f>CAMCAM!BR151</f>
        <v>7.3</v>
      </c>
      <c r="BS73" s="435">
        <f>CAMCAM!BS151</f>
        <v>7.3</v>
      </c>
      <c r="BT73" s="435">
        <f>CAMCAM!BT151</f>
        <v>7.3</v>
      </c>
      <c r="BU73" s="435">
        <f>CAMCAM!BU151</f>
        <v>7.3</v>
      </c>
      <c r="BV73" s="435">
        <f>CAMCAM!BV151</f>
        <v>7.3</v>
      </c>
      <c r="BW73" s="435">
        <f>CAMCAM!BW151</f>
        <v>7.3</v>
      </c>
      <c r="BX73" s="435">
        <f>CAMCAM!BX151</f>
        <v>7.3</v>
      </c>
      <c r="BY73" s="435">
        <f>CAMCAM!BY151</f>
        <v>7.3</v>
      </c>
      <c r="BZ73" s="435">
        <f>CAMCAM!BZ151</f>
        <v>7.3</v>
      </c>
      <c r="CA73" s="435">
        <f>CAMCAM!CA151</f>
        <v>7.3</v>
      </c>
      <c r="CB73" s="435">
        <f>CAMCAM!CB151</f>
        <v>7.3</v>
      </c>
      <c r="CC73" s="435">
        <f>CAMCAM!CC151</f>
        <v>7.3</v>
      </c>
      <c r="CD73" s="435">
        <f>CAMCAM!CD151</f>
        <v>7.3</v>
      </c>
      <c r="CE73" s="435">
        <f>CAMCAM!CE151</f>
        <v>7.3</v>
      </c>
      <c r="CF73" s="435">
        <f>CAMCAM!CF151</f>
        <v>7.3</v>
      </c>
      <c r="CG73" s="435">
        <f>CAMCAM!CG151</f>
        <v>7.3</v>
      </c>
      <c r="CH73" s="435">
        <f>CAMCAM!CH151</f>
        <v>7.3</v>
      </c>
      <c r="CI73" s="435">
        <f>CAMCAM!CI151</f>
        <v>7.3</v>
      </c>
      <c r="CJ73" s="438"/>
    </row>
    <row r="74" spans="2:88" ht="14.5" thickBot="1" x14ac:dyDescent="0.4">
      <c r="B74" s="1221" t="s">
        <v>754</v>
      </c>
      <c r="C74" s="526" t="s">
        <v>455</v>
      </c>
      <c r="D74" s="527" t="s">
        <v>755</v>
      </c>
      <c r="E74" s="526" t="s">
        <v>305</v>
      </c>
      <c r="F74" s="523">
        <v>2</v>
      </c>
      <c r="G74" s="435">
        <f>CAMCAM!G175</f>
        <v>87.984627709999998</v>
      </c>
      <c r="H74" s="435">
        <f>CAMCAM!H175</f>
        <v>85.58818740000001</v>
      </c>
      <c r="I74" s="435">
        <f>CAMCAM!I175</f>
        <v>85.279863060000011</v>
      </c>
      <c r="J74" s="435">
        <f>CAMCAM!J175</f>
        <v>85.199520669999998</v>
      </c>
      <c r="K74" s="435">
        <f>CAMCAM!K175</f>
        <v>85.310098790000012</v>
      </c>
      <c r="L74" s="435">
        <f>CAMCAM!L175</f>
        <v>86.76977706000001</v>
      </c>
      <c r="M74" s="435">
        <f>CAMCAM!M175</f>
        <v>86.782121169999996</v>
      </c>
      <c r="N74" s="435">
        <f>CAMCAM!N175</f>
        <v>86.959262250000023</v>
      </c>
      <c r="O74" s="435">
        <f>CAMCAM!O175</f>
        <v>87.11162745</v>
      </c>
      <c r="P74" s="435">
        <f>CAMCAM!P175</f>
        <v>87.119526390000019</v>
      </c>
      <c r="Q74" s="435">
        <f>CAMCAM!Q175</f>
        <v>86.840035167068322</v>
      </c>
      <c r="R74" s="435">
        <f>CAMCAM!R175</f>
        <v>86.738839798117695</v>
      </c>
      <c r="S74" s="435">
        <f>CAMCAM!S175</f>
        <v>86.477006879423129</v>
      </c>
      <c r="T74" s="435">
        <f>CAMCAM!T175</f>
        <v>86.188484274113037</v>
      </c>
      <c r="U74" s="435">
        <f>CAMCAM!U175</f>
        <v>85.957063520448173</v>
      </c>
      <c r="V74" s="435">
        <f>CAMCAM!V175</f>
        <v>85.617811296701532</v>
      </c>
      <c r="W74" s="435">
        <f>CAMCAM!W175</f>
        <v>85.623840108253049</v>
      </c>
      <c r="X74" s="435">
        <f>CAMCAM!X175</f>
        <v>85.607769844462197</v>
      </c>
      <c r="Y74" s="435">
        <f>CAMCAM!Y175</f>
        <v>85.581824229039228</v>
      </c>
      <c r="Z74" s="435">
        <f>CAMCAM!Z175</f>
        <v>85.491720471667236</v>
      </c>
      <c r="AA74" s="435">
        <f>CAMCAM!AA175</f>
        <v>85.048764959295411</v>
      </c>
      <c r="AB74" s="435">
        <f>CAMCAM!AB175</f>
        <v>84.951295748323375</v>
      </c>
      <c r="AC74" s="435">
        <f>CAMCAM!AC175</f>
        <v>84.84071023177917</v>
      </c>
      <c r="AD74" s="435">
        <f>CAMCAM!AD175</f>
        <v>84.72114237886673</v>
      </c>
      <c r="AE74" s="435">
        <f>CAMCAM!AE175</f>
        <v>84.583693089314835</v>
      </c>
      <c r="AF74" s="435">
        <f>CAMCAM!AF175</f>
        <v>84.423935363940757</v>
      </c>
      <c r="AG74" s="435">
        <f>CAMCAM!AG175</f>
        <v>84.507341207718156</v>
      </c>
      <c r="AH74" s="435">
        <f>CAMCAM!AH175</f>
        <v>84.583130574545606</v>
      </c>
      <c r="AI74" s="435">
        <f>CAMCAM!AI175</f>
        <v>84.646888734138656</v>
      </c>
      <c r="AJ74" s="435">
        <f>CAMCAM!AJ175</f>
        <v>84.69452969117026</v>
      </c>
      <c r="AK74" s="435">
        <f>CAMCAM!AK175</f>
        <v>84.675554589878075</v>
      </c>
      <c r="AL74" s="435">
        <f>CAMCAM!AL175</f>
        <v>84.676327788891683</v>
      </c>
      <c r="AM74" s="435">
        <f>CAMCAM!AM175</f>
        <v>84.676548651814713</v>
      </c>
      <c r="AN74" s="435">
        <f>CAMCAM!AN175</f>
        <v>84.674029886069519</v>
      </c>
      <c r="AO74" s="435">
        <f>CAMCAM!AO175</f>
        <v>84.782590203293154</v>
      </c>
      <c r="AP74" s="435">
        <f>CAMCAM!AP175</f>
        <v>84.891403449475462</v>
      </c>
      <c r="AQ74" s="435">
        <f>CAMCAM!AQ175</f>
        <v>85.000548461527046</v>
      </c>
      <c r="AR74" s="435">
        <f>CAMCAM!AR175</f>
        <v>85.103821146733466</v>
      </c>
      <c r="AS74" s="435">
        <f>CAMCAM!AS175</f>
        <v>85.20270257268092</v>
      </c>
      <c r="AT74" s="435">
        <f>CAMCAM!AT175</f>
        <v>85.302044734355349</v>
      </c>
      <c r="AU74" s="435">
        <f>CAMCAM!AU175</f>
        <v>85.399068477923095</v>
      </c>
      <c r="AV74" s="435">
        <f>CAMCAM!AV175</f>
        <v>85.4952104565795</v>
      </c>
      <c r="AW74" s="435">
        <f>CAMCAM!AW175</f>
        <v>85.59185848741177</v>
      </c>
      <c r="AX74" s="435">
        <f>CAMCAM!AX175</f>
        <v>85.688690180313969</v>
      </c>
      <c r="AY74" s="435">
        <f>CAMCAM!AY175</f>
        <v>85.787693267874232</v>
      </c>
      <c r="AZ74" s="435">
        <f>CAMCAM!AZ175</f>
        <v>85.888979539132322</v>
      </c>
      <c r="BA74" s="435">
        <f>CAMCAM!BA175</f>
        <v>85.992239542781732</v>
      </c>
      <c r="BB74" s="435">
        <f>CAMCAM!BB175</f>
        <v>86.095524891596654</v>
      </c>
      <c r="BC74" s="435">
        <f>CAMCAM!BC175</f>
        <v>86.201362885954524</v>
      </c>
      <c r="BD74" s="435">
        <f>CAMCAM!BD175</f>
        <v>86.308871462857866</v>
      </c>
      <c r="BE74" s="435">
        <f>CAMCAM!BE175</f>
        <v>86.418518510282482</v>
      </c>
      <c r="BF74" s="435">
        <f>CAMCAM!BF175</f>
        <v>86.53231842427742</v>
      </c>
      <c r="BG74" s="435">
        <f>CAMCAM!BG175</f>
        <v>86.649512387592438</v>
      </c>
      <c r="BH74" s="435">
        <f>CAMCAM!BH175</f>
        <v>86.77046867120589</v>
      </c>
      <c r="BI74" s="435">
        <f>CAMCAM!BI175</f>
        <v>86.893625672225085</v>
      </c>
      <c r="BJ74" s="435">
        <f>CAMCAM!BJ175</f>
        <v>87.01956654798667</v>
      </c>
      <c r="BK74" s="435">
        <f>CAMCAM!BK175</f>
        <v>87.148197869688715</v>
      </c>
      <c r="BL74" s="435">
        <f>CAMCAM!BL175</f>
        <v>87.280287655903209</v>
      </c>
      <c r="BM74" s="435">
        <f>CAMCAM!BM175</f>
        <v>87.41707081119587</v>
      </c>
      <c r="BN74" s="435">
        <f>CAMCAM!BN175</f>
        <v>87.557897655754203</v>
      </c>
      <c r="BO74" s="435">
        <f>CAMCAM!BO175</f>
        <v>87.704069200026922</v>
      </c>
      <c r="BP74" s="435">
        <f>CAMCAM!BP175</f>
        <v>87.854770112072288</v>
      </c>
      <c r="BQ74" s="435">
        <f>CAMCAM!BQ175</f>
        <v>88.009972754487038</v>
      </c>
      <c r="BR74" s="435">
        <f>CAMCAM!BR175</f>
        <v>88.167211841659366</v>
      </c>
      <c r="BS74" s="435">
        <f>CAMCAM!BS175</f>
        <v>88.327382889040223</v>
      </c>
      <c r="BT74" s="435">
        <f>CAMCAM!BT175</f>
        <v>88.49008340973009</v>
      </c>
      <c r="BU74" s="435">
        <f>CAMCAM!BU175</f>
        <v>88.656081381794934</v>
      </c>
      <c r="BV74" s="435">
        <f>CAMCAM!BV175</f>
        <v>88.822693117991946</v>
      </c>
      <c r="BW74" s="435">
        <f>CAMCAM!BW175</f>
        <v>88.991205493110641</v>
      </c>
      <c r="BX74" s="435">
        <f>CAMCAM!BX175</f>
        <v>89.161405466296955</v>
      </c>
      <c r="BY74" s="435">
        <f>CAMCAM!BY175</f>
        <v>89.333799394406498</v>
      </c>
      <c r="BZ74" s="435">
        <f>CAMCAM!BZ175</f>
        <v>89.50714433408541</v>
      </c>
      <c r="CA74" s="435">
        <f>CAMCAM!CA175</f>
        <v>89.681584505571834</v>
      </c>
      <c r="CB74" s="435">
        <f>CAMCAM!CB175</f>
        <v>89.855201472954221</v>
      </c>
      <c r="CC74" s="435">
        <f>CAMCAM!CC175</f>
        <v>90.02943874954795</v>
      </c>
      <c r="CD74" s="435">
        <f>CAMCAM!CD175</f>
        <v>90.202894397509169</v>
      </c>
      <c r="CE74" s="435">
        <f>CAMCAM!CE175</f>
        <v>90.375642713930006</v>
      </c>
      <c r="CF74" s="435">
        <f>CAMCAM!CF175</f>
        <v>90.546740439217288</v>
      </c>
      <c r="CG74" s="435">
        <f>CAMCAM!CG175</f>
        <v>90.71661744189511</v>
      </c>
      <c r="CH74" s="435">
        <f>CAMCAM!CH175</f>
        <v>90.807578607980986</v>
      </c>
      <c r="CI74" s="435">
        <f>CAMCAM!CI175</f>
        <v>94.961539817000016</v>
      </c>
      <c r="CJ74" s="438"/>
    </row>
    <row r="75" spans="2:88" x14ac:dyDescent="0.35">
      <c r="B75" s="1222" t="s">
        <v>756</v>
      </c>
      <c r="C75" s="1223" t="s">
        <v>462</v>
      </c>
      <c r="D75" s="571" t="s">
        <v>757</v>
      </c>
      <c r="E75" s="1223" t="s">
        <v>305</v>
      </c>
      <c r="F75" s="572">
        <v>2</v>
      </c>
      <c r="G75" s="439">
        <f>G62</f>
        <v>0</v>
      </c>
      <c r="H75" s="439">
        <f t="shared" ref="H75:BS75" si="7">H62</f>
        <v>0</v>
      </c>
      <c r="I75" s="439">
        <f t="shared" si="7"/>
        <v>2.9757597102411202</v>
      </c>
      <c r="J75" s="439">
        <f t="shared" si="7"/>
        <v>3.3576955154454899</v>
      </c>
      <c r="K75" s="439">
        <f t="shared" si="7"/>
        <v>2.8574079032938799</v>
      </c>
      <c r="L75" s="439">
        <f t="shared" si="7"/>
        <v>3.0369562419803602</v>
      </c>
      <c r="M75" s="439">
        <f t="shared" si="7"/>
        <v>3.2584093998703398</v>
      </c>
      <c r="N75" s="439">
        <f t="shared" si="7"/>
        <v>3.1207130672901799</v>
      </c>
      <c r="O75" s="439">
        <f t="shared" si="7"/>
        <v>3.3875136302605302</v>
      </c>
      <c r="P75" s="439">
        <f t="shared" si="7"/>
        <v>3.3056328126358898</v>
      </c>
      <c r="Q75" s="439">
        <f t="shared" si="7"/>
        <v>2.2164329258121902</v>
      </c>
      <c r="R75" s="439">
        <f t="shared" si="7"/>
        <v>2.2168592260432001</v>
      </c>
      <c r="S75" s="439">
        <f t="shared" si="7"/>
        <v>2.38857509042391</v>
      </c>
      <c r="T75" s="439">
        <f t="shared" si="7"/>
        <v>2.3889017660576801</v>
      </c>
      <c r="U75" s="439">
        <f t="shared" si="7"/>
        <v>2.5805699160681899</v>
      </c>
      <c r="V75" s="439">
        <f t="shared" si="7"/>
        <v>1.28470629122971</v>
      </c>
      <c r="W75" s="439">
        <f t="shared" si="7"/>
        <v>1.2477030571234899</v>
      </c>
      <c r="X75" s="439">
        <f t="shared" si="7"/>
        <v>1.35993704003772</v>
      </c>
      <c r="Y75" s="439">
        <f t="shared" si="7"/>
        <v>1.4398394618430299</v>
      </c>
      <c r="Z75" s="439">
        <f t="shared" si="7"/>
        <v>1.5094851578291699</v>
      </c>
      <c r="AA75" s="439">
        <f t="shared" si="7"/>
        <v>1.4594331686028099</v>
      </c>
      <c r="AB75" s="439">
        <f t="shared" si="7"/>
        <v>1.3553945057230601</v>
      </c>
      <c r="AC75" s="439">
        <f t="shared" si="7"/>
        <v>1.43436406404553</v>
      </c>
      <c r="AD75" s="439">
        <f t="shared" si="7"/>
        <v>1.5657903243262501</v>
      </c>
      <c r="AE75" s="439">
        <f t="shared" si="7"/>
        <v>1.5225776098152499</v>
      </c>
      <c r="AF75" s="439">
        <f t="shared" si="7"/>
        <v>1.5470441966673401</v>
      </c>
      <c r="AG75" s="439">
        <f t="shared" si="7"/>
        <v>1.6466949327851299</v>
      </c>
      <c r="AH75" s="439">
        <f t="shared" si="7"/>
        <v>1.5566659392717701</v>
      </c>
      <c r="AI75" s="439">
        <f t="shared" si="7"/>
        <v>1.5522290046178098</v>
      </c>
      <c r="AJ75" s="439">
        <f t="shared" si="7"/>
        <v>1.5867827804485599</v>
      </c>
      <c r="AK75" s="439">
        <f t="shared" si="7"/>
        <v>1.5667313850684801</v>
      </c>
      <c r="AL75" s="439">
        <f t="shared" si="7"/>
        <v>1.6235050759381899</v>
      </c>
      <c r="AM75" s="439">
        <f t="shared" si="7"/>
        <v>1.5933232492835501</v>
      </c>
      <c r="AN75" s="439">
        <f t="shared" si="7"/>
        <v>1.68866719809901</v>
      </c>
      <c r="AO75" s="439">
        <f t="shared" si="7"/>
        <v>1.60833216938039</v>
      </c>
      <c r="AP75" s="439">
        <f t="shared" si="7"/>
        <v>1.49966889131692</v>
      </c>
      <c r="AQ75" s="439">
        <f t="shared" si="7"/>
        <v>1.5587833264378501</v>
      </c>
      <c r="AR75" s="439">
        <f t="shared" si="7"/>
        <v>1.46885856941365</v>
      </c>
      <c r="AS75" s="439">
        <f t="shared" si="7"/>
        <v>1.4490131046778101</v>
      </c>
      <c r="AT75" s="439">
        <f t="shared" si="7"/>
        <v>1.36817932677689</v>
      </c>
      <c r="AU75" s="439">
        <f t="shared" si="7"/>
        <v>1.28778803129035</v>
      </c>
      <c r="AV75" s="439">
        <f t="shared" si="7"/>
        <v>1.3102932909849001</v>
      </c>
      <c r="AW75" s="439">
        <f t="shared" si="7"/>
        <v>1.1335481396063301</v>
      </c>
      <c r="AX75" s="439">
        <f t="shared" si="7"/>
        <v>1.31079837813935</v>
      </c>
      <c r="AY75" s="439">
        <f t="shared" si="7"/>
        <v>1.2445040750321399</v>
      </c>
      <c r="AZ75" s="439">
        <f t="shared" si="7"/>
        <v>1.20857462686404</v>
      </c>
      <c r="BA75" s="439">
        <f t="shared" si="7"/>
        <v>1.1702391183002201</v>
      </c>
      <c r="BB75" s="439">
        <f t="shared" si="7"/>
        <v>1.0899046144223199</v>
      </c>
      <c r="BC75" s="439">
        <f t="shared" si="7"/>
        <v>1.04478607144883</v>
      </c>
      <c r="BD75" s="439">
        <f t="shared" si="7"/>
        <v>0.913497795390807</v>
      </c>
      <c r="BE75" s="439">
        <f t="shared" si="7"/>
        <v>1.04460880676287</v>
      </c>
      <c r="BF75" s="439">
        <f t="shared" si="7"/>
        <v>0.93579758206657904</v>
      </c>
      <c r="BG75" s="439">
        <f t="shared" si="7"/>
        <v>0.80218462851250705</v>
      </c>
      <c r="BH75" s="439">
        <f t="shared" si="7"/>
        <v>0.67268841438561</v>
      </c>
      <c r="BI75" s="439">
        <f t="shared" si="7"/>
        <v>0.60143765671715699</v>
      </c>
      <c r="BJ75" s="439">
        <f t="shared" si="7"/>
        <v>1.13938942302403</v>
      </c>
      <c r="BK75" s="439">
        <f t="shared" si="7"/>
        <v>0.79945710797407799</v>
      </c>
      <c r="BL75" s="439">
        <f t="shared" si="7"/>
        <v>0.76242116830734596</v>
      </c>
      <c r="BM75" s="439">
        <f t="shared" si="7"/>
        <v>0.67029676414829698</v>
      </c>
      <c r="BN75" s="439">
        <f t="shared" si="7"/>
        <v>0.85359012296743597</v>
      </c>
      <c r="BO75" s="439">
        <f t="shared" si="7"/>
        <v>0.70310058611725901</v>
      </c>
      <c r="BP75" s="439">
        <f t="shared" si="7"/>
        <v>0.48997565583935598</v>
      </c>
      <c r="BQ75" s="439">
        <f t="shared" si="7"/>
        <v>0.57245650294238504</v>
      </c>
      <c r="BR75" s="439">
        <f t="shared" si="7"/>
        <v>0.61254270659832799</v>
      </c>
      <c r="BS75" s="439">
        <f t="shared" si="7"/>
        <v>0.73290346210492097</v>
      </c>
      <c r="BT75" s="439">
        <f t="shared" ref="BT75:CI75" si="8">BT62</f>
        <v>0.50434809547383097</v>
      </c>
      <c r="BU75" s="439">
        <f t="shared" si="8"/>
        <v>0.51719181090719402</v>
      </c>
      <c r="BV75" s="439">
        <f t="shared" si="8"/>
        <v>0.28259852647243999</v>
      </c>
      <c r="BW75" s="439">
        <f t="shared" si="8"/>
        <v>0.40162112390325799</v>
      </c>
      <c r="BX75" s="439">
        <f t="shared" si="8"/>
        <v>0.42673332882113901</v>
      </c>
      <c r="BY75" s="439">
        <f t="shared" si="8"/>
        <v>0.50349307432894197</v>
      </c>
      <c r="BZ75" s="439">
        <f t="shared" si="8"/>
        <v>0.62924459239994401</v>
      </c>
      <c r="CA75" s="439">
        <f t="shared" si="8"/>
        <v>0.47140198434045399</v>
      </c>
      <c r="CB75" s="439">
        <f t="shared" si="8"/>
        <v>0.31967972062523797</v>
      </c>
      <c r="CC75" s="439">
        <f t="shared" si="8"/>
        <v>0.44510525882819901</v>
      </c>
      <c r="CD75" s="439">
        <f t="shared" si="8"/>
        <v>0.25587008338800099</v>
      </c>
      <c r="CE75" s="439">
        <f t="shared" si="8"/>
        <v>0.28292681251539997</v>
      </c>
      <c r="CF75" s="439">
        <f t="shared" si="8"/>
        <v>0.13829334705695001</v>
      </c>
      <c r="CG75" s="439">
        <f t="shared" si="8"/>
        <v>0.27940958313096498</v>
      </c>
      <c r="CH75" s="439">
        <f t="shared" si="8"/>
        <v>0.26561832351584302</v>
      </c>
      <c r="CI75" s="439">
        <f t="shared" si="8"/>
        <v>0.21372858031408401</v>
      </c>
      <c r="CJ75" s="439"/>
    </row>
    <row r="76" spans="2:88" x14ac:dyDescent="0.35">
      <c r="B76" s="1224" t="s">
        <v>758</v>
      </c>
      <c r="C76" s="573" t="s">
        <v>342</v>
      </c>
      <c r="D76" s="574" t="s">
        <v>759</v>
      </c>
      <c r="E76" s="573" t="s">
        <v>305</v>
      </c>
      <c r="F76" s="575">
        <v>2</v>
      </c>
      <c r="G76" s="438">
        <f>CAMCAM!G131</f>
        <v>99.660000000000011</v>
      </c>
      <c r="H76" s="438">
        <f>CAMCAM!H131</f>
        <v>99.660000000000011</v>
      </c>
      <c r="I76" s="438">
        <f>CAMCAM!I131</f>
        <v>99.660000000000011</v>
      </c>
      <c r="J76" s="438">
        <f>CAMCAM!J131</f>
        <v>99.660000000000011</v>
      </c>
      <c r="K76" s="438">
        <f>CAMCAM!K131</f>
        <v>99.660000000000011</v>
      </c>
      <c r="L76" s="438">
        <f>CAMCAM!L131</f>
        <v>97.660000000000011</v>
      </c>
      <c r="M76" s="438">
        <f>CAMCAM!M131</f>
        <v>96.327847338129516</v>
      </c>
      <c r="N76" s="438">
        <f>CAMCAM!N131</f>
        <v>96.179947338129523</v>
      </c>
      <c r="O76" s="438">
        <f>CAMCAM!O131</f>
        <v>95.672047338129516</v>
      </c>
      <c r="P76" s="438">
        <f>CAMCAM!P131</f>
        <v>95.524147338129524</v>
      </c>
      <c r="Q76" s="438">
        <f>CAMCAM!Q131</f>
        <v>95.376247338129517</v>
      </c>
      <c r="R76" s="438">
        <f>CAMCAM!R131</f>
        <v>89.718347338129519</v>
      </c>
      <c r="S76" s="438">
        <f>CAMCAM!S131</f>
        <v>77.070447338129512</v>
      </c>
      <c r="T76" s="438">
        <f>CAMCAM!T131</f>
        <v>76.922547338129519</v>
      </c>
      <c r="U76" s="438">
        <f>CAMCAM!U131</f>
        <v>76.774647338129512</v>
      </c>
      <c r="V76" s="438">
        <f>CAMCAM!V131</f>
        <v>76.626747338129519</v>
      </c>
      <c r="W76" s="438">
        <f>CAMCAM!W131</f>
        <v>76.478847338129512</v>
      </c>
      <c r="X76" s="438">
        <f>CAMCAM!X131</f>
        <v>76.330947338129519</v>
      </c>
      <c r="Y76" s="438">
        <f>CAMCAM!Y131</f>
        <v>76.183047338129512</v>
      </c>
      <c r="Z76" s="438">
        <f>CAMCAM!Z131</f>
        <v>76.035147338129519</v>
      </c>
      <c r="AA76" s="438">
        <f>CAMCAM!AA131</f>
        <v>75.887247338129512</v>
      </c>
      <c r="AB76" s="438">
        <f>CAMCAM!AB131</f>
        <v>50.850000000000009</v>
      </c>
      <c r="AC76" s="438">
        <f>CAMCAM!AC131</f>
        <v>50.850000000000009</v>
      </c>
      <c r="AD76" s="438">
        <f>CAMCAM!AD131</f>
        <v>50.850000000000009</v>
      </c>
      <c r="AE76" s="438">
        <f>CAMCAM!AE131</f>
        <v>50.850000000000009</v>
      </c>
      <c r="AF76" s="438">
        <f>CAMCAM!AF131</f>
        <v>50.850000000000009</v>
      </c>
      <c r="AG76" s="438">
        <f>CAMCAM!AG131</f>
        <v>50.850000000000009</v>
      </c>
      <c r="AH76" s="438">
        <f>CAMCAM!AH131</f>
        <v>50.850000000000009</v>
      </c>
      <c r="AI76" s="438">
        <f>CAMCAM!AI131</f>
        <v>50.850000000000009</v>
      </c>
      <c r="AJ76" s="438">
        <f>CAMCAM!AJ131</f>
        <v>50.850000000000009</v>
      </c>
      <c r="AK76" s="438">
        <f>CAMCAM!AK131</f>
        <v>50.850000000000009</v>
      </c>
      <c r="AL76" s="438">
        <f>CAMCAM!AL131</f>
        <v>50.850000000000009</v>
      </c>
      <c r="AM76" s="438">
        <f>CAMCAM!AM131</f>
        <v>50.850000000000009</v>
      </c>
      <c r="AN76" s="438">
        <f>CAMCAM!AN131</f>
        <v>50.850000000000009</v>
      </c>
      <c r="AO76" s="438">
        <f>CAMCAM!AO131</f>
        <v>50.850000000000009</v>
      </c>
      <c r="AP76" s="438">
        <f>CAMCAM!AP131</f>
        <v>50.850000000000009</v>
      </c>
      <c r="AQ76" s="438">
        <f>CAMCAM!AQ131</f>
        <v>50.850000000000009</v>
      </c>
      <c r="AR76" s="438">
        <f>CAMCAM!AR131</f>
        <v>50.850000000000009</v>
      </c>
      <c r="AS76" s="438">
        <f>CAMCAM!AS131</f>
        <v>50.850000000000009</v>
      </c>
      <c r="AT76" s="438">
        <f>CAMCAM!AT131</f>
        <v>50.850000000000009</v>
      </c>
      <c r="AU76" s="438">
        <f>CAMCAM!AU131</f>
        <v>50.850000000000009</v>
      </c>
      <c r="AV76" s="438">
        <f>CAMCAM!AV131</f>
        <v>50.850000000000009</v>
      </c>
      <c r="AW76" s="438">
        <f>CAMCAM!AW131</f>
        <v>50.850000000000009</v>
      </c>
      <c r="AX76" s="438">
        <f>CAMCAM!AX131</f>
        <v>50.850000000000009</v>
      </c>
      <c r="AY76" s="438">
        <f>CAMCAM!AY131</f>
        <v>50.850000000000009</v>
      </c>
      <c r="AZ76" s="438">
        <f>CAMCAM!AZ131</f>
        <v>50.850000000000009</v>
      </c>
      <c r="BA76" s="438">
        <f>CAMCAM!BA131</f>
        <v>50.850000000000009</v>
      </c>
      <c r="BB76" s="438">
        <f>CAMCAM!BB131</f>
        <v>50.850000000000009</v>
      </c>
      <c r="BC76" s="438">
        <f>CAMCAM!BC131</f>
        <v>50.850000000000009</v>
      </c>
      <c r="BD76" s="438">
        <f>CAMCAM!BD131</f>
        <v>50.850000000000009</v>
      </c>
      <c r="BE76" s="438">
        <f>CAMCAM!BE131</f>
        <v>52.850000000000009</v>
      </c>
      <c r="BF76" s="438">
        <f>CAMCAM!BF131</f>
        <v>52.850000000000009</v>
      </c>
      <c r="BG76" s="438">
        <f>CAMCAM!BG131</f>
        <v>52.850000000000009</v>
      </c>
      <c r="BH76" s="438">
        <f>CAMCAM!BH131</f>
        <v>52.850000000000009</v>
      </c>
      <c r="BI76" s="438">
        <f>CAMCAM!BI131</f>
        <v>52.850000000000009</v>
      </c>
      <c r="BJ76" s="438">
        <f>CAMCAM!BJ131</f>
        <v>52.850000000000009</v>
      </c>
      <c r="BK76" s="438">
        <f>CAMCAM!BK131</f>
        <v>52.850000000000009</v>
      </c>
      <c r="BL76" s="438">
        <f>CAMCAM!BL131</f>
        <v>52.850000000000009</v>
      </c>
      <c r="BM76" s="438">
        <f>CAMCAM!BM131</f>
        <v>52.850000000000009</v>
      </c>
      <c r="BN76" s="438">
        <f>CAMCAM!BN131</f>
        <v>52.850000000000009</v>
      </c>
      <c r="BO76" s="438">
        <f>CAMCAM!BO131</f>
        <v>52.850000000000009</v>
      </c>
      <c r="BP76" s="438">
        <f>CAMCAM!BP131</f>
        <v>52.850000000000009</v>
      </c>
      <c r="BQ76" s="438">
        <f>CAMCAM!BQ131</f>
        <v>52.850000000000009</v>
      </c>
      <c r="BR76" s="438">
        <f>CAMCAM!BR131</f>
        <v>52.850000000000009</v>
      </c>
      <c r="BS76" s="438">
        <f>CAMCAM!BS131</f>
        <v>52.850000000000009</v>
      </c>
      <c r="BT76" s="438">
        <f>CAMCAM!BT131</f>
        <v>52.850000000000009</v>
      </c>
      <c r="BU76" s="438">
        <f>CAMCAM!BU131</f>
        <v>52.850000000000009</v>
      </c>
      <c r="BV76" s="438">
        <f>CAMCAM!BV131</f>
        <v>52.850000000000009</v>
      </c>
      <c r="BW76" s="438">
        <f>CAMCAM!BW131</f>
        <v>52.850000000000009</v>
      </c>
      <c r="BX76" s="438">
        <f>CAMCAM!BX131</f>
        <v>52.850000000000009</v>
      </c>
      <c r="BY76" s="438">
        <f>CAMCAM!BY131</f>
        <v>52.850000000000009</v>
      </c>
      <c r="BZ76" s="438">
        <f>CAMCAM!BZ131</f>
        <v>52.850000000000009</v>
      </c>
      <c r="CA76" s="438">
        <f>CAMCAM!CA131</f>
        <v>52.850000000000009</v>
      </c>
      <c r="CB76" s="438">
        <f>CAMCAM!CB131</f>
        <v>52.850000000000009</v>
      </c>
      <c r="CC76" s="438">
        <f>CAMCAM!CC131</f>
        <v>52.850000000000009</v>
      </c>
      <c r="CD76" s="438">
        <f>CAMCAM!CD131</f>
        <v>52.850000000000009</v>
      </c>
      <c r="CE76" s="438">
        <f>CAMCAM!CE131</f>
        <v>52.850000000000009</v>
      </c>
      <c r="CF76" s="438">
        <f>CAMCAM!CF131</f>
        <v>52.850000000000009</v>
      </c>
      <c r="CG76" s="438">
        <f>CAMCAM!CG131</f>
        <v>52.850000000000009</v>
      </c>
      <c r="CH76" s="438">
        <f>CAMCAM!CH131</f>
        <v>52.850000000000009</v>
      </c>
      <c r="CI76" s="438">
        <f>CAMCAM!CI131</f>
        <v>52.850000000000009</v>
      </c>
      <c r="CJ76" s="438"/>
    </row>
    <row r="77" spans="2:88" ht="66.650000000000006" customHeight="1" x14ac:dyDescent="0.35">
      <c r="B77" s="1224" t="s">
        <v>760</v>
      </c>
      <c r="C77" s="573" t="s">
        <v>345</v>
      </c>
      <c r="D77" s="574" t="s">
        <v>761</v>
      </c>
      <c r="E77" s="573" t="s">
        <v>305</v>
      </c>
      <c r="F77" s="575">
        <v>2</v>
      </c>
      <c r="G77" s="438">
        <f>CAMCAM!G132</f>
        <v>99.100000000000009</v>
      </c>
      <c r="H77" s="438">
        <f>CAMCAM!H132</f>
        <v>99.100000000000009</v>
      </c>
      <c r="I77" s="438">
        <f>CAMCAM!I132</f>
        <v>99.100000000000009</v>
      </c>
      <c r="J77" s="438">
        <f>CAMCAM!J132</f>
        <v>99.100000000000009</v>
      </c>
      <c r="K77" s="438">
        <f>CAMCAM!K132</f>
        <v>99.100000000000009</v>
      </c>
      <c r="L77" s="438">
        <f>CAMCAM!L132</f>
        <v>97.100000000000009</v>
      </c>
      <c r="M77" s="438">
        <f>CAMCAM!M132</f>
        <v>95.767847338129513</v>
      </c>
      <c r="N77" s="438">
        <f>CAMCAM!N132</f>
        <v>95.619947338129521</v>
      </c>
      <c r="O77" s="438">
        <f>CAMCAM!O132</f>
        <v>95.112047338129514</v>
      </c>
      <c r="P77" s="438">
        <f>CAMCAM!P132</f>
        <v>94.964147338129521</v>
      </c>
      <c r="Q77" s="438">
        <f>CAMCAM!Q132</f>
        <v>94.816247338129514</v>
      </c>
      <c r="R77" s="438">
        <f>CAMCAM!R132</f>
        <v>89.158347338129516</v>
      </c>
      <c r="S77" s="438">
        <f>CAMCAM!S132</f>
        <v>101.51044733812951</v>
      </c>
      <c r="T77" s="438">
        <f>CAMCAM!T132</f>
        <v>102.36254733812952</v>
      </c>
      <c r="U77" s="438">
        <f>CAMCAM!U132</f>
        <v>102.21464733812951</v>
      </c>
      <c r="V77" s="438">
        <f>CAMCAM!V132</f>
        <v>102.06674733812952</v>
      </c>
      <c r="W77" s="438">
        <f>CAMCAM!W132</f>
        <v>101.91884733812951</v>
      </c>
      <c r="X77" s="438">
        <f>CAMCAM!X132</f>
        <v>119.77094733812953</v>
      </c>
      <c r="Y77" s="438">
        <f>CAMCAM!Y132</f>
        <v>119.62304733812951</v>
      </c>
      <c r="Z77" s="438">
        <f>CAMCAM!Z132</f>
        <v>119.47514733812952</v>
      </c>
      <c r="AA77" s="438">
        <f>CAMCAM!AA132</f>
        <v>119.32724733812952</v>
      </c>
      <c r="AB77" s="438">
        <f>CAMCAM!AB132</f>
        <v>94.29000000000002</v>
      </c>
      <c r="AC77" s="438">
        <f>CAMCAM!AC132</f>
        <v>94.29000000000002</v>
      </c>
      <c r="AD77" s="438">
        <f>CAMCAM!AD132</f>
        <v>94.29000000000002</v>
      </c>
      <c r="AE77" s="438">
        <f>CAMCAM!AE132</f>
        <v>94.29000000000002</v>
      </c>
      <c r="AF77" s="438">
        <f>CAMCAM!AF132</f>
        <v>94.29000000000002</v>
      </c>
      <c r="AG77" s="438">
        <f>CAMCAM!AG132</f>
        <v>94.29000000000002</v>
      </c>
      <c r="AH77" s="438">
        <f>CAMCAM!AH132</f>
        <v>94.29000000000002</v>
      </c>
      <c r="AI77" s="438">
        <f>CAMCAM!AI132</f>
        <v>94.29000000000002</v>
      </c>
      <c r="AJ77" s="438">
        <f>CAMCAM!AJ132</f>
        <v>94.29000000000002</v>
      </c>
      <c r="AK77" s="438">
        <f>CAMCAM!AK132</f>
        <v>94.29000000000002</v>
      </c>
      <c r="AL77" s="438">
        <f>CAMCAM!AL132</f>
        <v>94.29000000000002</v>
      </c>
      <c r="AM77" s="438">
        <f>CAMCAM!AM132</f>
        <v>94.29000000000002</v>
      </c>
      <c r="AN77" s="438">
        <f>CAMCAM!AN132</f>
        <v>94.29000000000002</v>
      </c>
      <c r="AO77" s="438">
        <f>CAMCAM!AO132</f>
        <v>94.29000000000002</v>
      </c>
      <c r="AP77" s="438">
        <f>CAMCAM!AP132</f>
        <v>94.29000000000002</v>
      </c>
      <c r="AQ77" s="438">
        <f>CAMCAM!AQ132</f>
        <v>94.29000000000002</v>
      </c>
      <c r="AR77" s="438">
        <f>CAMCAM!AR132</f>
        <v>94.29000000000002</v>
      </c>
      <c r="AS77" s="438">
        <f>CAMCAM!AS132</f>
        <v>94.29000000000002</v>
      </c>
      <c r="AT77" s="438">
        <f>CAMCAM!AT132</f>
        <v>94.29000000000002</v>
      </c>
      <c r="AU77" s="438">
        <f>CAMCAM!AU132</f>
        <v>94.29000000000002</v>
      </c>
      <c r="AV77" s="438">
        <f>CAMCAM!AV132</f>
        <v>94.29000000000002</v>
      </c>
      <c r="AW77" s="438">
        <f>CAMCAM!AW132</f>
        <v>94.29000000000002</v>
      </c>
      <c r="AX77" s="438">
        <f>CAMCAM!AX132</f>
        <v>94.29000000000002</v>
      </c>
      <c r="AY77" s="438">
        <f>CAMCAM!AY132</f>
        <v>94.29000000000002</v>
      </c>
      <c r="AZ77" s="438">
        <f>CAMCAM!AZ132</f>
        <v>94.29000000000002</v>
      </c>
      <c r="BA77" s="438">
        <f>CAMCAM!BA132</f>
        <v>94.29000000000002</v>
      </c>
      <c r="BB77" s="438">
        <f>CAMCAM!BB132</f>
        <v>94.29000000000002</v>
      </c>
      <c r="BC77" s="438">
        <f>CAMCAM!BC132</f>
        <v>94.29000000000002</v>
      </c>
      <c r="BD77" s="438">
        <f>CAMCAM!BD132</f>
        <v>94.29000000000002</v>
      </c>
      <c r="BE77" s="438">
        <f>CAMCAM!BE132</f>
        <v>96.29000000000002</v>
      </c>
      <c r="BF77" s="438">
        <f>CAMCAM!BF132</f>
        <v>96.29000000000002</v>
      </c>
      <c r="BG77" s="438">
        <f>CAMCAM!BG132</f>
        <v>96.29000000000002</v>
      </c>
      <c r="BH77" s="438">
        <f>CAMCAM!BH132</f>
        <v>96.29000000000002</v>
      </c>
      <c r="BI77" s="438">
        <f>CAMCAM!BI132</f>
        <v>96.29000000000002</v>
      </c>
      <c r="BJ77" s="438">
        <f>CAMCAM!BJ132</f>
        <v>96.29000000000002</v>
      </c>
      <c r="BK77" s="438">
        <f>CAMCAM!BK132</f>
        <v>96.29000000000002</v>
      </c>
      <c r="BL77" s="438">
        <f>CAMCAM!BL132</f>
        <v>96.29000000000002</v>
      </c>
      <c r="BM77" s="438">
        <f>CAMCAM!BM132</f>
        <v>96.29000000000002</v>
      </c>
      <c r="BN77" s="438">
        <f>CAMCAM!BN132</f>
        <v>96.29000000000002</v>
      </c>
      <c r="BO77" s="438">
        <f>CAMCAM!BO132</f>
        <v>96.29000000000002</v>
      </c>
      <c r="BP77" s="438">
        <f>CAMCAM!BP132</f>
        <v>96.29000000000002</v>
      </c>
      <c r="BQ77" s="438">
        <f>CAMCAM!BQ132</f>
        <v>96.29000000000002</v>
      </c>
      <c r="BR77" s="438">
        <f>CAMCAM!BR132</f>
        <v>96.29000000000002</v>
      </c>
      <c r="BS77" s="438">
        <f>CAMCAM!BS132</f>
        <v>96.29000000000002</v>
      </c>
      <c r="BT77" s="438">
        <f>CAMCAM!BT132</f>
        <v>96.29000000000002</v>
      </c>
      <c r="BU77" s="438">
        <f>CAMCAM!BU132</f>
        <v>96.29000000000002</v>
      </c>
      <c r="BV77" s="438">
        <f>CAMCAM!BV132</f>
        <v>96.29000000000002</v>
      </c>
      <c r="BW77" s="438">
        <f>CAMCAM!BW132</f>
        <v>96.29000000000002</v>
      </c>
      <c r="BX77" s="438">
        <f>CAMCAM!BX132</f>
        <v>96.29000000000002</v>
      </c>
      <c r="BY77" s="438">
        <f>CAMCAM!BY132</f>
        <v>96.29000000000002</v>
      </c>
      <c r="BZ77" s="438">
        <f>CAMCAM!BZ132</f>
        <v>96.29000000000002</v>
      </c>
      <c r="CA77" s="438">
        <f>CAMCAM!CA132</f>
        <v>96.29000000000002</v>
      </c>
      <c r="CB77" s="438">
        <f>CAMCAM!CB132</f>
        <v>96.29000000000002</v>
      </c>
      <c r="CC77" s="438">
        <f>CAMCAM!CC132</f>
        <v>96.29000000000002</v>
      </c>
      <c r="CD77" s="438">
        <f>CAMCAM!CD132</f>
        <v>96.29000000000002</v>
      </c>
      <c r="CE77" s="438">
        <f>CAMCAM!CE132</f>
        <v>96.29000000000002</v>
      </c>
      <c r="CF77" s="438">
        <f>CAMCAM!CF132</f>
        <v>96.29000000000002</v>
      </c>
      <c r="CG77" s="438">
        <f>CAMCAM!CG132</f>
        <v>96.29000000000002</v>
      </c>
      <c r="CH77" s="438">
        <f>CAMCAM!CH132</f>
        <v>96.29000000000002</v>
      </c>
      <c r="CI77" s="438">
        <f>CAMCAM!CI132</f>
        <v>96.29000000000002</v>
      </c>
      <c r="CJ77" s="438"/>
    </row>
    <row r="78" spans="2:88" ht="14.75" customHeight="1" thickBot="1" x14ac:dyDescent="0.4">
      <c r="B78" s="1230" t="s">
        <v>762</v>
      </c>
      <c r="C78" s="1231" t="s">
        <v>471</v>
      </c>
      <c r="D78" s="576" t="s">
        <v>763</v>
      </c>
      <c r="E78" s="1231" t="s">
        <v>305</v>
      </c>
      <c r="F78" s="577">
        <v>2</v>
      </c>
      <c r="G78" s="440">
        <f>CAMCAM!G181</f>
        <v>11.11537229000001</v>
      </c>
      <c r="H78" s="440">
        <f>CAMCAM!H181</f>
        <v>13.511812599999999</v>
      </c>
      <c r="I78" s="440">
        <f>CAMCAM!I181</f>
        <v>10.844377229758877</v>
      </c>
      <c r="J78" s="440">
        <f>CAMCAM!J181</f>
        <v>10.54278381455452</v>
      </c>
      <c r="K78" s="440">
        <f>CAMCAM!K181</f>
        <v>10.932493306706117</v>
      </c>
      <c r="L78" s="440">
        <f>CAMCAM!L181</f>
        <v>7.2932666980196386</v>
      </c>
      <c r="M78" s="440">
        <f>CAMCAM!M181</f>
        <v>5.7273167682591772</v>
      </c>
      <c r="N78" s="440">
        <f>CAMCAM!N181</f>
        <v>5.5399720208393175</v>
      </c>
      <c r="O78" s="440">
        <f>CAMCAM!O181</f>
        <v>4.6129062578689837</v>
      </c>
      <c r="P78" s="440">
        <f>CAMCAM!P181</f>
        <v>4.5389881354936126</v>
      </c>
      <c r="Q78" s="440">
        <f>CAMCAM!Q181</f>
        <v>5.7597792452490015</v>
      </c>
      <c r="R78" s="440">
        <f>CAMCAM!R181</f>
        <v>0.20264831396862126</v>
      </c>
      <c r="S78" s="440">
        <f>CAMCAM!S181</f>
        <v>12.644865368282471</v>
      </c>
      <c r="T78" s="440">
        <f>CAMCAM!T181</f>
        <v>13.785161297958799</v>
      </c>
      <c r="U78" s="440">
        <f>CAMCAM!U181</f>
        <v>13.677013901613147</v>
      </c>
      <c r="V78" s="440">
        <f>CAMCAM!V181</f>
        <v>15.164229750198274</v>
      </c>
      <c r="W78" s="440">
        <f>CAMCAM!W181</f>
        <v>15.047304172752971</v>
      </c>
      <c r="X78" s="440">
        <f>CAMCAM!X181</f>
        <v>32.803240453629613</v>
      </c>
      <c r="Y78" s="440">
        <f>CAMCAM!Y181</f>
        <v>32.601383647247253</v>
      </c>
      <c r="Z78" s="440">
        <f>CAMCAM!Z181</f>
        <v>32.473941708633113</v>
      </c>
      <c r="AA78" s="440">
        <f>CAMCAM!AA181</f>
        <v>32.819049210231306</v>
      </c>
      <c r="AB78" s="440">
        <f>CAMCAM!AB181</f>
        <v>7.9833097459535853</v>
      </c>
      <c r="AC78" s="440">
        <f>CAMCAM!AC181</f>
        <v>8.0149257041753206</v>
      </c>
      <c r="AD78" s="440">
        <f>CAMCAM!AD181</f>
        <v>8.0030672968070391</v>
      </c>
      <c r="AE78" s="440">
        <f>CAMCAM!AE181</f>
        <v>8.1837293008699348</v>
      </c>
      <c r="AF78" s="440">
        <f>CAMCAM!AF181</f>
        <v>8.3190204393919238</v>
      </c>
      <c r="AG78" s="440">
        <f>CAMCAM!AG181</f>
        <v>8.1359638594967354</v>
      </c>
      <c r="AH78" s="440">
        <f>CAMCAM!AH181</f>
        <v>8.1502034861826438</v>
      </c>
      <c r="AI78" s="440">
        <f>CAMCAM!AI181</f>
        <v>8.0908822612435536</v>
      </c>
      <c r="AJ78" s="440">
        <f>CAMCAM!AJ181</f>
        <v>8.0086875283812002</v>
      </c>
      <c r="AK78" s="440">
        <f>CAMCAM!AK181</f>
        <v>8.047714025053466</v>
      </c>
      <c r="AL78" s="440">
        <f>CAMCAM!AL181</f>
        <v>7.9901671351701475</v>
      </c>
      <c r="AM78" s="440">
        <f>CAMCAM!AM181</f>
        <v>8.0201280989017576</v>
      </c>
      <c r="AN78" s="440">
        <f>CAMCAM!AN181</f>
        <v>7.9273029158314916</v>
      </c>
      <c r="AO78" s="440">
        <f>CAMCAM!AO181</f>
        <v>7.8990776273264771</v>
      </c>
      <c r="AP78" s="440">
        <f>CAMCAM!AP181</f>
        <v>7.8989276592076383</v>
      </c>
      <c r="AQ78" s="440">
        <f>CAMCAM!AQ181</f>
        <v>7.7306682120351242</v>
      </c>
      <c r="AR78" s="440">
        <f>CAMCAM!AR181</f>
        <v>7.7173202838529047</v>
      </c>
      <c r="AS78" s="440">
        <f>CAMCAM!AS181</f>
        <v>7.6382843226412902</v>
      </c>
      <c r="AT78" s="440">
        <f>CAMCAM!AT181</f>
        <v>7.6197759388677824</v>
      </c>
      <c r="AU78" s="440">
        <f>CAMCAM!AU181</f>
        <v>7.603143490786576</v>
      </c>
      <c r="AV78" s="440">
        <f>CAMCAM!AV181</f>
        <v>7.4844962524356209</v>
      </c>
      <c r="AW78" s="440">
        <f>CAMCAM!AW181</f>
        <v>7.5645933729819204</v>
      </c>
      <c r="AX78" s="440">
        <f>CAMCAM!AX181</f>
        <v>7.2905114415467009</v>
      </c>
      <c r="AY78" s="440">
        <f>CAMCAM!AY181</f>
        <v>7.2578026570936487</v>
      </c>
      <c r="AZ78" s="440">
        <f>CAMCAM!AZ181</f>
        <v>7.1924458340036583</v>
      </c>
      <c r="BA78" s="440">
        <f>CAMCAM!BA181</f>
        <v>7.1275213389180685</v>
      </c>
      <c r="BB78" s="440">
        <f>CAMCAM!BB181</f>
        <v>7.104570493981047</v>
      </c>
      <c r="BC78" s="440">
        <f>CAMCAM!BC181</f>
        <v>7.0438510425966667</v>
      </c>
      <c r="BD78" s="440">
        <f>CAMCAM!BD181</f>
        <v>7.0676307417513478</v>
      </c>
      <c r="BE78" s="440">
        <f>CAMCAM!BE181</f>
        <v>8.8268726829546686</v>
      </c>
      <c r="BF78" s="440">
        <f>CAMCAM!BF181</f>
        <v>8.8218839936560212</v>
      </c>
      <c r="BG78" s="440">
        <f>CAMCAM!BG181</f>
        <v>8.8383029838950762</v>
      </c>
      <c r="BH78" s="440">
        <f>CAMCAM!BH181</f>
        <v>8.846842914408521</v>
      </c>
      <c r="BI78" s="440">
        <f>CAMCAM!BI181</f>
        <v>8.7949366710577781</v>
      </c>
      <c r="BJ78" s="440">
        <f>CAMCAM!BJ181</f>
        <v>8.1310440289893204</v>
      </c>
      <c r="BK78" s="440">
        <f>CAMCAM!BK181</f>
        <v>8.3423450223372271</v>
      </c>
      <c r="BL78" s="440">
        <f>CAMCAM!BL181</f>
        <v>8.2472911757894654</v>
      </c>
      <c r="BM78" s="440">
        <f>CAMCAM!BM181</f>
        <v>8.2026324246558531</v>
      </c>
      <c r="BN78" s="440">
        <f>CAMCAM!BN181</f>
        <v>7.8785122212783811</v>
      </c>
      <c r="BO78" s="440">
        <f>CAMCAM!BO181</f>
        <v>7.8828302138558399</v>
      </c>
      <c r="BP78" s="440">
        <f>CAMCAM!BP181</f>
        <v>7.9452542320883772</v>
      </c>
      <c r="BQ78" s="440">
        <f>CAMCAM!BQ181</f>
        <v>7.7075707425705975</v>
      </c>
      <c r="BR78" s="440">
        <f>CAMCAM!BR181</f>
        <v>7.5102454517423265</v>
      </c>
      <c r="BS78" s="440">
        <f>CAMCAM!BS181</f>
        <v>7.2297136488548768</v>
      </c>
      <c r="BT78" s="440">
        <f>CAMCAM!BT181</f>
        <v>7.2955684947960995</v>
      </c>
      <c r="BU78" s="440">
        <f>CAMCAM!BU181</f>
        <v>7.1167268072978924</v>
      </c>
      <c r="BV78" s="440">
        <f>CAMCAM!BV181</f>
        <v>7.1847083555356344</v>
      </c>
      <c r="BW78" s="440">
        <f>CAMCAM!BW181</f>
        <v>6.8971733829861215</v>
      </c>
      <c r="BX78" s="440">
        <f>CAMCAM!BX181</f>
        <v>6.7018612048819266</v>
      </c>
      <c r="BY78" s="440">
        <f>CAMCAM!BY181</f>
        <v>6.452707531264581</v>
      </c>
      <c r="BZ78" s="440">
        <f>CAMCAM!BZ181</f>
        <v>6.1536110735146661</v>
      </c>
      <c r="CA78" s="440">
        <f>CAMCAM!CA181</f>
        <v>6.1370135100877325</v>
      </c>
      <c r="CB78" s="440">
        <f>CAMCAM!CB181</f>
        <v>6.1151188064205613</v>
      </c>
      <c r="CC78" s="440">
        <f>CAMCAM!CC181</f>
        <v>5.8154559916238719</v>
      </c>
      <c r="CD78" s="440">
        <f>CAMCAM!CD181</f>
        <v>5.83123551910285</v>
      </c>
      <c r="CE78" s="440">
        <f>CAMCAM!CE181</f>
        <v>5.631430473554615</v>
      </c>
      <c r="CF78" s="440">
        <f>CAMCAM!CF181</f>
        <v>5.6049662137257821</v>
      </c>
      <c r="CG78" s="440">
        <f>CAMCAM!CG181</f>
        <v>5.2939729749739453</v>
      </c>
      <c r="CH78" s="440">
        <f>CAMCAM!CH181</f>
        <v>5.2168030685031912</v>
      </c>
      <c r="CI78" s="440">
        <f>CAMCAM!CI181</f>
        <v>1.1147316026859202</v>
      </c>
      <c r="CJ78" s="438"/>
    </row>
    <row r="79" spans="2:88" ht="14.75" customHeight="1" x14ac:dyDescent="0.35">
      <c r="B79" s="1232" t="s">
        <v>659</v>
      </c>
      <c r="C79" s="1233" t="s">
        <v>764</v>
      </c>
      <c r="D79" s="528" t="s">
        <v>765</v>
      </c>
      <c r="E79" s="1233" t="s">
        <v>398</v>
      </c>
      <c r="F79" s="529">
        <v>2</v>
      </c>
      <c r="G79" s="439">
        <f>SUM(CAMCAM!G$153) + SUM(CAMCAM!G$154) + SUM(CAMCAM!G$155)</f>
        <v>9.93</v>
      </c>
      <c r="H79" s="439">
        <f>SUM(CAMCAM!H$153) + SUM(CAMCAM!H$154) + SUM(CAMCAM!H$155)</f>
        <v>8.93</v>
      </c>
      <c r="I79" s="439">
        <f>SUM(CAMCAM!I$153) + SUM(CAMCAM!I$154) + SUM(CAMCAM!I$155)</f>
        <v>8.9600000000000009</v>
      </c>
      <c r="J79" s="439">
        <f>SUM(CAMCAM!J$153) + SUM(CAMCAM!J$154) + SUM(CAMCAM!J$155)</f>
        <v>8.98</v>
      </c>
      <c r="K79" s="439">
        <f>SUM(CAMCAM!K$153) + SUM(CAMCAM!K$154) + SUM(CAMCAM!K$155)</f>
        <v>9.0100000000000016</v>
      </c>
      <c r="L79" s="439">
        <f>SUM(CAMCAM!L$153) + SUM(CAMCAM!L$154) + SUM(CAMCAM!L$155)</f>
        <v>9.0299999999999994</v>
      </c>
      <c r="M79" s="439">
        <f>SUM(CAMCAM!M$153) + SUM(CAMCAM!M$154) + SUM(CAMCAM!M$155)</f>
        <v>9.06</v>
      </c>
      <c r="N79" s="439">
        <f>SUM(CAMCAM!N$153) + SUM(CAMCAM!N$154) + SUM(CAMCAM!N$155)</f>
        <v>9.08</v>
      </c>
      <c r="O79" s="439">
        <f>SUM(CAMCAM!O$153) + SUM(CAMCAM!O$154) + SUM(CAMCAM!O$155)</f>
        <v>9.1100000000000012</v>
      </c>
      <c r="P79" s="439">
        <f>SUM(CAMCAM!P$153) + SUM(CAMCAM!P$154) + SUM(CAMCAM!P$155)</f>
        <v>9.1300000000000008</v>
      </c>
      <c r="Q79" s="439">
        <f>SUM(CAMCAM!Q$153) + SUM(CAMCAM!Q$154) + SUM(CAMCAM!Q$155)</f>
        <v>9.16</v>
      </c>
      <c r="R79" s="439">
        <f>SUM(CAMCAM!R$153) + SUM(CAMCAM!R$154) + SUM(CAMCAM!R$155)</f>
        <v>9.1800000000000015</v>
      </c>
      <c r="S79" s="439">
        <f>SUM(CAMCAM!S$153) + SUM(CAMCAM!S$154) + SUM(CAMCAM!S$155)</f>
        <v>9.2100000000000009</v>
      </c>
      <c r="T79" s="439">
        <f>SUM(CAMCAM!T$153) + SUM(CAMCAM!T$154) + SUM(CAMCAM!T$155)</f>
        <v>9.23</v>
      </c>
      <c r="U79" s="439">
        <f>SUM(CAMCAM!U$153) + SUM(CAMCAM!U$154) + SUM(CAMCAM!U$155)</f>
        <v>9.26</v>
      </c>
      <c r="V79" s="439">
        <f>SUM(CAMCAM!V$153) + SUM(CAMCAM!V$154) + SUM(CAMCAM!V$155)</f>
        <v>9.2799999999999994</v>
      </c>
      <c r="W79" s="439">
        <f>SUM(CAMCAM!W$153) + SUM(CAMCAM!W$154) + SUM(CAMCAM!W$155)</f>
        <v>9.31</v>
      </c>
      <c r="X79" s="439">
        <f>SUM(CAMCAM!X$153) + SUM(CAMCAM!X$154) + SUM(CAMCAM!X$155)</f>
        <v>9.33</v>
      </c>
      <c r="Y79" s="439">
        <f>SUM(CAMCAM!Y$153) + SUM(CAMCAM!Y$154) + SUM(CAMCAM!Y$155)</f>
        <v>9.3600000000000012</v>
      </c>
      <c r="Z79" s="439">
        <f>SUM(CAMCAM!Z$153) + SUM(CAMCAM!Z$154) + SUM(CAMCAM!Z$155)</f>
        <v>9.3800000000000008</v>
      </c>
      <c r="AA79" s="439">
        <f>SUM(CAMCAM!AA$153) + SUM(CAMCAM!AA$154) + SUM(CAMCAM!AA$155)</f>
        <v>9.4100000000000019</v>
      </c>
      <c r="AB79" s="439">
        <f>SUM(CAMCAM!AB$153) + SUM(CAMCAM!AB$154) + SUM(CAMCAM!AB$155)</f>
        <v>9.43</v>
      </c>
      <c r="AC79" s="439">
        <f>SUM(CAMCAM!AC$153) + SUM(CAMCAM!AC$154) + SUM(CAMCAM!AC$155)</f>
        <v>9.4599999999999991</v>
      </c>
      <c r="AD79" s="439">
        <f>SUM(CAMCAM!AD$153) + SUM(CAMCAM!AD$154) + SUM(CAMCAM!AD$155)</f>
        <v>9.48</v>
      </c>
      <c r="AE79" s="439">
        <f>SUM(CAMCAM!AE$153) + SUM(CAMCAM!AE$154) + SUM(CAMCAM!AE$155)</f>
        <v>9.51</v>
      </c>
      <c r="AF79" s="439">
        <f>SUM(CAMCAM!AF$153) + SUM(CAMCAM!AF$154) + SUM(CAMCAM!AF$155)</f>
        <v>9.5300000000000011</v>
      </c>
      <c r="AG79" s="439">
        <f>SUM(CAMCAM!AG$153) + SUM(CAMCAM!AG$154) + SUM(CAMCAM!AG$155)</f>
        <v>9.56</v>
      </c>
      <c r="AH79" s="439">
        <f>SUM(CAMCAM!AH$153) + SUM(CAMCAM!AH$154) + SUM(CAMCAM!AH$155)</f>
        <v>9.58</v>
      </c>
      <c r="AI79" s="439">
        <f>SUM(CAMCAM!AI$153) + SUM(CAMCAM!AI$154) + SUM(CAMCAM!AI$155)</f>
        <v>9.6100000000000012</v>
      </c>
      <c r="AJ79" s="439">
        <f>SUM(CAMCAM!AJ$153) + SUM(CAMCAM!AJ$154) + SUM(CAMCAM!AJ$155)</f>
        <v>9.6300000000000008</v>
      </c>
      <c r="AK79" s="439">
        <f>SUM(CAMCAM!AK$153) + SUM(CAMCAM!AK$154) + SUM(CAMCAM!AK$155)</f>
        <v>9.66</v>
      </c>
      <c r="AL79" s="439">
        <f>SUM(CAMCAM!AL$153) + SUM(CAMCAM!AL$154) + SUM(CAMCAM!AL$155)</f>
        <v>9.68</v>
      </c>
      <c r="AM79" s="439">
        <f>SUM(CAMCAM!AM$153) + SUM(CAMCAM!AM$154) + SUM(CAMCAM!AM$155)</f>
        <v>9.7100000000000009</v>
      </c>
      <c r="AN79" s="439">
        <f>SUM(CAMCAM!AN$153) + SUM(CAMCAM!AN$154) + SUM(CAMCAM!AN$155)</f>
        <v>9.73</v>
      </c>
      <c r="AO79" s="439">
        <f>SUM(CAMCAM!AO$153) + SUM(CAMCAM!AO$154) + SUM(CAMCAM!AO$155)</f>
        <v>9.76</v>
      </c>
      <c r="AP79" s="439">
        <f>SUM(CAMCAM!AP$153) + SUM(CAMCAM!AP$154) + SUM(CAMCAM!AP$155)</f>
        <v>9.7800000000000011</v>
      </c>
      <c r="AQ79" s="439">
        <f>SUM(CAMCAM!AQ$153) + SUM(CAMCAM!AQ$154) + SUM(CAMCAM!AQ$155)</f>
        <v>9.81</v>
      </c>
      <c r="AR79" s="439">
        <f>SUM(CAMCAM!AR$153) + SUM(CAMCAM!AR$154) + SUM(CAMCAM!AR$155)</f>
        <v>9.8300000000000018</v>
      </c>
      <c r="AS79" s="439">
        <f>SUM(CAMCAM!AS$153) + SUM(CAMCAM!AS$154) + SUM(CAMCAM!AS$155)</f>
        <v>9.86</v>
      </c>
      <c r="AT79" s="439">
        <f>SUM(CAMCAM!AT$153) + SUM(CAMCAM!AT$154) + SUM(CAMCAM!AT$155)</f>
        <v>9.8800000000000008</v>
      </c>
      <c r="AU79" s="439">
        <f>SUM(CAMCAM!AU$153) + SUM(CAMCAM!AU$154) + SUM(CAMCAM!AU$155)</f>
        <v>9.91</v>
      </c>
      <c r="AV79" s="439">
        <f>SUM(CAMCAM!AV$153) + SUM(CAMCAM!AV$154) + SUM(CAMCAM!AV$155)</f>
        <v>9.93</v>
      </c>
      <c r="AW79" s="439">
        <f>SUM(CAMCAM!AW$153) + SUM(CAMCAM!AW$154) + SUM(CAMCAM!AW$155)</f>
        <v>9.9600000000000009</v>
      </c>
      <c r="AX79" s="439">
        <f>SUM(CAMCAM!AX$153) + SUM(CAMCAM!AX$154) + SUM(CAMCAM!AX$155)</f>
        <v>9.98</v>
      </c>
      <c r="AY79" s="439">
        <f>SUM(CAMCAM!AY$153) + SUM(CAMCAM!AY$154) + SUM(CAMCAM!AY$155)</f>
        <v>10.010000000000002</v>
      </c>
      <c r="AZ79" s="439">
        <f>SUM(CAMCAM!AZ$153) + SUM(CAMCAM!AZ$154) + SUM(CAMCAM!AZ$155)</f>
        <v>10.030000000000001</v>
      </c>
      <c r="BA79" s="439">
        <f>SUM(CAMCAM!BA$153) + SUM(CAMCAM!BA$154) + SUM(CAMCAM!BA$155)</f>
        <v>10.06</v>
      </c>
      <c r="BB79" s="439">
        <f>SUM(CAMCAM!BB$153) + SUM(CAMCAM!BB$154) + SUM(CAMCAM!BB$155)</f>
        <v>10.08</v>
      </c>
      <c r="BC79" s="439">
        <f>SUM(CAMCAM!BC$153) + SUM(CAMCAM!BC$154) + SUM(CAMCAM!BC$155)</f>
        <v>10.11</v>
      </c>
      <c r="BD79" s="439">
        <f>SUM(CAMCAM!BD$153) + SUM(CAMCAM!BD$154) + SUM(CAMCAM!BD$155)</f>
        <v>10.130000000000001</v>
      </c>
      <c r="BE79" s="439">
        <f>SUM(CAMCAM!BE$153) + SUM(CAMCAM!BE$154) + SUM(CAMCAM!BE$155)</f>
        <v>10.16</v>
      </c>
      <c r="BF79" s="439">
        <f>SUM(CAMCAM!BF$153) + SUM(CAMCAM!BF$154) + SUM(CAMCAM!BF$155)</f>
        <v>10.190000000000001</v>
      </c>
      <c r="BG79" s="439">
        <f>SUM(CAMCAM!BG$153) + SUM(CAMCAM!BG$154) + SUM(CAMCAM!BG$155)</f>
        <v>10.23</v>
      </c>
      <c r="BH79" s="439">
        <f>SUM(CAMCAM!BH$153) + SUM(CAMCAM!BH$154) + SUM(CAMCAM!BH$155)</f>
        <v>10.26</v>
      </c>
      <c r="BI79" s="439">
        <f>SUM(CAMCAM!BI$153) + SUM(CAMCAM!BI$154) + SUM(CAMCAM!BI$155)</f>
        <v>10.3</v>
      </c>
      <c r="BJ79" s="439">
        <f>SUM(CAMCAM!BJ$153) + SUM(CAMCAM!BJ$154) + SUM(CAMCAM!BJ$155)</f>
        <v>10.33</v>
      </c>
      <c r="BK79" s="439">
        <f>SUM(CAMCAM!BK$153) + SUM(CAMCAM!BK$154) + SUM(CAMCAM!BK$155)</f>
        <v>10.370000000000001</v>
      </c>
      <c r="BL79" s="439">
        <f>SUM(CAMCAM!BL$153) + SUM(CAMCAM!BL$154) + SUM(CAMCAM!BL$155)</f>
        <v>10.4</v>
      </c>
      <c r="BM79" s="439">
        <f>SUM(CAMCAM!BM$153) + SUM(CAMCAM!BM$154) + SUM(CAMCAM!BM$155)</f>
        <v>10.440000000000001</v>
      </c>
      <c r="BN79" s="439">
        <f>SUM(CAMCAM!BN$153) + SUM(CAMCAM!BN$154) + SUM(CAMCAM!BN$155)</f>
        <v>10.47</v>
      </c>
      <c r="BO79" s="439">
        <f>SUM(CAMCAM!BO$153) + SUM(CAMCAM!BO$154) + SUM(CAMCAM!BO$155)</f>
        <v>10.51</v>
      </c>
      <c r="BP79" s="439">
        <f>SUM(CAMCAM!BP$153) + SUM(CAMCAM!BP$154) + SUM(CAMCAM!BP$155)</f>
        <v>10.540000000000001</v>
      </c>
      <c r="BQ79" s="439">
        <f>SUM(CAMCAM!BQ$153) + SUM(CAMCAM!BQ$154) + SUM(CAMCAM!BQ$155)</f>
        <v>10.58</v>
      </c>
      <c r="BR79" s="439">
        <f>SUM(CAMCAM!BR$153) + SUM(CAMCAM!BR$154) + SUM(CAMCAM!BR$155)</f>
        <v>10.610000000000001</v>
      </c>
      <c r="BS79" s="439">
        <f>SUM(CAMCAM!BS$153) + SUM(CAMCAM!BS$154) + SUM(CAMCAM!BS$155)</f>
        <v>10.65</v>
      </c>
      <c r="BT79" s="439">
        <f>SUM(CAMCAM!BT$153) + SUM(CAMCAM!BT$154) + SUM(CAMCAM!BT$155)</f>
        <v>10.68</v>
      </c>
      <c r="BU79" s="439">
        <f>SUM(CAMCAM!BU$153) + SUM(CAMCAM!BU$154) + SUM(CAMCAM!BU$155)</f>
        <v>10.72</v>
      </c>
      <c r="BV79" s="439">
        <f>SUM(CAMCAM!BV$153) + SUM(CAMCAM!BV$154) + SUM(CAMCAM!BV$155)</f>
        <v>10.75</v>
      </c>
      <c r="BW79" s="439">
        <f>SUM(CAMCAM!BW$153) + SUM(CAMCAM!BW$154) + SUM(CAMCAM!BW$155)</f>
        <v>10.790000000000001</v>
      </c>
      <c r="BX79" s="439">
        <f>SUM(CAMCAM!BX$153) + SUM(CAMCAM!BX$154) + SUM(CAMCAM!BX$155)</f>
        <v>10.82</v>
      </c>
      <c r="BY79" s="439">
        <f>SUM(CAMCAM!BY$153) + SUM(CAMCAM!BY$154) + SUM(CAMCAM!BY$155)</f>
        <v>10.860000000000001</v>
      </c>
      <c r="BZ79" s="439">
        <f>SUM(CAMCAM!BZ$153) + SUM(CAMCAM!BZ$154) + SUM(CAMCAM!BZ$155)</f>
        <v>10.89</v>
      </c>
      <c r="CA79" s="439">
        <f>SUM(CAMCAM!CA$153) + SUM(CAMCAM!CA$154) + SUM(CAMCAM!CA$155)</f>
        <v>10.93</v>
      </c>
      <c r="CB79" s="439">
        <f>SUM(CAMCAM!CB$153) + SUM(CAMCAM!CB$154) + SUM(CAMCAM!CB$155)</f>
        <v>10.96</v>
      </c>
      <c r="CC79" s="439">
        <f>SUM(CAMCAM!CC$153) + SUM(CAMCAM!CC$154) + SUM(CAMCAM!CC$155)</f>
        <v>11</v>
      </c>
      <c r="CD79" s="439">
        <f>SUM(CAMCAM!CD$153) + SUM(CAMCAM!CD$154) + SUM(CAMCAM!CD$155)</f>
        <v>11.030000000000001</v>
      </c>
      <c r="CE79" s="439">
        <f>SUM(CAMCAM!CE$153) + SUM(CAMCAM!CE$154) + SUM(CAMCAM!CE$155)</f>
        <v>11.07</v>
      </c>
      <c r="CF79" s="439">
        <f>SUM(CAMCAM!CF$153) + SUM(CAMCAM!CF$154) + SUM(CAMCAM!CF$155)</f>
        <v>11.1</v>
      </c>
      <c r="CG79" s="439">
        <f>SUM(CAMCAM!CG$153) + SUM(CAMCAM!CG$154) + SUM(CAMCAM!CG$155)</f>
        <v>11.14</v>
      </c>
      <c r="CH79" s="439">
        <f>SUM(CAMCAM!CH$153) + SUM(CAMCAM!CH$154) + SUM(CAMCAM!CH$155)</f>
        <v>11.17</v>
      </c>
      <c r="CI79" s="439">
        <f>SUM(CAMCAM!CI$153) + SUM(CAMCAM!CI$154) + SUM(CAMCAM!CI$155)</f>
        <v>11.21</v>
      </c>
      <c r="CJ79" s="438"/>
    </row>
    <row r="80" spans="2:88" ht="33.75" customHeight="1" thickBot="1" x14ac:dyDescent="0.4">
      <c r="B80" s="1234" t="s">
        <v>677</v>
      </c>
      <c r="C80" s="1235" t="s">
        <v>766</v>
      </c>
      <c r="D80" s="1236" t="s">
        <v>767</v>
      </c>
      <c r="E80" s="1235" t="s">
        <v>398</v>
      </c>
      <c r="F80" s="1237">
        <v>2</v>
      </c>
      <c r="G80" s="1229">
        <f>SUM(CAMCAM!G$156) + SUM(CAMCAM!G$163) + SUM(CAMCAM!G$164) + SUM(CAMCAM!G$165)</f>
        <v>137.84300000000002</v>
      </c>
      <c r="H80" s="1229">
        <f>SUM(CAMCAM!H$156) + SUM(CAMCAM!H$163) + SUM(CAMCAM!H$164) + SUM(CAMCAM!H$165)</f>
        <v>137.14930000000001</v>
      </c>
      <c r="I80" s="1229">
        <f>SUM(CAMCAM!I$156) + SUM(CAMCAM!I$163) + SUM(CAMCAM!I$164) + SUM(CAMCAM!I$165)</f>
        <v>138.07816667</v>
      </c>
      <c r="J80" s="1229">
        <f>SUM(CAMCAM!J$156) + SUM(CAMCAM!J$163) + SUM(CAMCAM!J$164) + SUM(CAMCAM!J$165)</f>
        <v>141.17957471</v>
      </c>
      <c r="K80" s="1229">
        <f>SUM(CAMCAM!K$156) + SUM(CAMCAM!K$163) + SUM(CAMCAM!K$164) + SUM(CAMCAM!K$165)</f>
        <v>143.96016381000001</v>
      </c>
      <c r="L80" s="1229">
        <f>SUM(CAMCAM!L$156) + SUM(CAMCAM!L$163) + SUM(CAMCAM!L$164) + SUM(CAMCAM!L$165)</f>
        <v>146.77501913</v>
      </c>
      <c r="M80" s="1229">
        <f>SUM(CAMCAM!M$156) + SUM(CAMCAM!M$163) + SUM(CAMCAM!M$164) + SUM(CAMCAM!M$165)</f>
        <v>149.78184242</v>
      </c>
      <c r="N80" s="1229">
        <f>SUM(CAMCAM!N$156) + SUM(CAMCAM!N$163) + SUM(CAMCAM!N$164) + SUM(CAMCAM!N$165)</f>
        <v>152.24860465</v>
      </c>
      <c r="O80" s="1229">
        <f>SUM(CAMCAM!O$156) + SUM(CAMCAM!O$163) + SUM(CAMCAM!O$164) + SUM(CAMCAM!O$165)</f>
        <v>155.18361809999999</v>
      </c>
      <c r="P80" s="1229">
        <f>SUM(CAMCAM!P$156) + SUM(CAMCAM!P$163) + SUM(CAMCAM!P$164) + SUM(CAMCAM!P$165)</f>
        <v>158.02540056000001</v>
      </c>
      <c r="Q80" s="1229">
        <f>SUM(CAMCAM!Q$156) + SUM(CAMCAM!Q$163) + SUM(CAMCAM!Q$164) + SUM(CAMCAM!Q$165)</f>
        <v>160.59426596999998</v>
      </c>
      <c r="R80" s="1229">
        <f>SUM(CAMCAM!R$156) + SUM(CAMCAM!R$163) + SUM(CAMCAM!R$164) + SUM(CAMCAM!R$165)</f>
        <v>163.09520358999998</v>
      </c>
      <c r="S80" s="1229">
        <f>SUM(CAMCAM!S$156) + SUM(CAMCAM!S$163) + SUM(CAMCAM!S$164) + SUM(CAMCAM!S$165)</f>
        <v>165.26545024000001</v>
      </c>
      <c r="T80" s="1229">
        <f>SUM(CAMCAM!T$156) + SUM(CAMCAM!T$163) + SUM(CAMCAM!T$164) + SUM(CAMCAM!T$165)</f>
        <v>167.11312566999999</v>
      </c>
      <c r="U80" s="1229">
        <f>SUM(CAMCAM!U$156) + SUM(CAMCAM!U$163) + SUM(CAMCAM!U$164) + SUM(CAMCAM!U$165)</f>
        <v>168.95295281</v>
      </c>
      <c r="V80" s="1229">
        <f>SUM(CAMCAM!V$156) + SUM(CAMCAM!V$163) + SUM(CAMCAM!V$164) + SUM(CAMCAM!V$165)</f>
        <v>170.79705250999999</v>
      </c>
      <c r="W80" s="1229">
        <f>SUM(CAMCAM!W$156) + SUM(CAMCAM!W$163) + SUM(CAMCAM!W$164) + SUM(CAMCAM!W$165)</f>
        <v>172.51161420999998</v>
      </c>
      <c r="X80" s="1229">
        <f>SUM(CAMCAM!X$156) + SUM(CAMCAM!X$163) + SUM(CAMCAM!X$164) + SUM(CAMCAM!X$165)</f>
        <v>172.14875261583336</v>
      </c>
      <c r="Y80" s="1229">
        <f>SUM(CAMCAM!Y$156) + SUM(CAMCAM!Y$163) + SUM(CAMCAM!Y$164) + SUM(CAMCAM!Y$165)</f>
        <v>174.30953001583333</v>
      </c>
      <c r="Z80" s="1229">
        <f>SUM(CAMCAM!Z$156) + SUM(CAMCAM!Z$163) + SUM(CAMCAM!Z$164) + SUM(CAMCAM!Z$165)</f>
        <v>176.45527681583337</v>
      </c>
      <c r="AA80" s="1229">
        <f>SUM(CAMCAM!AA$156) + SUM(CAMCAM!AA$163) + SUM(CAMCAM!AA$164) + SUM(CAMCAM!AA$165)</f>
        <v>178.58861581583335</v>
      </c>
      <c r="AB80" s="1229">
        <f>SUM(CAMCAM!AB$156) + SUM(CAMCAM!AB$163) + SUM(CAMCAM!AB$164) + SUM(CAMCAM!AB$165)</f>
        <v>180.72844491583334</v>
      </c>
      <c r="AC80" s="1229">
        <f>SUM(CAMCAM!AC$156) + SUM(CAMCAM!AC$163) + SUM(CAMCAM!AC$164) + SUM(CAMCAM!AC$165)</f>
        <v>182.80499641583336</v>
      </c>
      <c r="AD80" s="1229">
        <f>SUM(CAMCAM!AD$156) + SUM(CAMCAM!AD$163) + SUM(CAMCAM!AD$164) + SUM(CAMCAM!AD$165)</f>
        <v>184.81964741583334</v>
      </c>
      <c r="AE80" s="1229">
        <f>SUM(CAMCAM!AE$156) + SUM(CAMCAM!AE$163) + SUM(CAMCAM!AE$164) + SUM(CAMCAM!AE$165)</f>
        <v>186.77579711583337</v>
      </c>
      <c r="AF80" s="1229">
        <f>SUM(CAMCAM!AF$156) + SUM(CAMCAM!AF$163) + SUM(CAMCAM!AF$164) + SUM(CAMCAM!AF$165)</f>
        <v>188.66967511583337</v>
      </c>
      <c r="AG80" s="1229">
        <f>SUM(CAMCAM!AG$156) + SUM(CAMCAM!AG$163) + SUM(CAMCAM!AG$164) + SUM(CAMCAM!AG$165)</f>
        <v>190.50566201583337</v>
      </c>
      <c r="AH80" s="1229">
        <f>SUM(CAMCAM!AH$156) + SUM(CAMCAM!AH$163) + SUM(CAMCAM!AH$164) + SUM(CAMCAM!AH$165)</f>
        <v>192.27891261583335</v>
      </c>
      <c r="AI80" s="1229">
        <f>SUM(CAMCAM!AI$156) + SUM(CAMCAM!AI$163) + SUM(CAMCAM!AI$164) + SUM(CAMCAM!AI$165)</f>
        <v>193.99382001583334</v>
      </c>
      <c r="AJ80" s="1229">
        <f>SUM(CAMCAM!AJ$156) + SUM(CAMCAM!AJ$163) + SUM(CAMCAM!AJ$164) + SUM(CAMCAM!AJ$165)</f>
        <v>195.64846891583335</v>
      </c>
      <c r="AK80" s="1229">
        <f>SUM(CAMCAM!AK$156) + SUM(CAMCAM!AK$163) + SUM(CAMCAM!AK$164) + SUM(CAMCAM!AK$165)</f>
        <v>197.24298391583335</v>
      </c>
      <c r="AL80" s="1229">
        <f>SUM(CAMCAM!AL$156) + SUM(CAMCAM!AL$163) + SUM(CAMCAM!AL$164) + SUM(CAMCAM!AL$165)</f>
        <v>198.24268601583336</v>
      </c>
      <c r="AM80" s="1229">
        <f>SUM(CAMCAM!AM$156) + SUM(CAMCAM!AM$163) + SUM(CAMCAM!AM$164) + SUM(CAMCAM!AM$165)</f>
        <v>199.20102271583335</v>
      </c>
      <c r="AN80" s="1229">
        <f>SUM(CAMCAM!AN$156) + SUM(CAMCAM!AN$163) + SUM(CAMCAM!AN$164) + SUM(CAMCAM!AN$165)</f>
        <v>200.14185461583335</v>
      </c>
      <c r="AO80" s="1229">
        <f>SUM(CAMCAM!AO$156) + SUM(CAMCAM!AO$163) + SUM(CAMCAM!AO$164) + SUM(CAMCAM!AO$165)</f>
        <v>201.05921591583336</v>
      </c>
      <c r="AP80" s="1229">
        <f>SUM(CAMCAM!AP$156) + SUM(CAMCAM!AP$163) + SUM(CAMCAM!AP$164) + SUM(CAMCAM!AP$165)</f>
        <v>201.97601781583333</v>
      </c>
      <c r="AQ80" s="1229">
        <f>SUM(CAMCAM!AQ$156) + SUM(CAMCAM!AQ$163) + SUM(CAMCAM!AQ$164) + SUM(CAMCAM!AQ$165)</f>
        <v>202.90078481583336</v>
      </c>
      <c r="AR80" s="1229">
        <f>SUM(CAMCAM!AR$156) + SUM(CAMCAM!AR$163) + SUM(CAMCAM!AR$164) + SUM(CAMCAM!AR$165)</f>
        <v>203.80379641583338</v>
      </c>
      <c r="AS80" s="1229">
        <f>SUM(CAMCAM!AS$156) + SUM(CAMCAM!AS$163) + SUM(CAMCAM!AS$164) + SUM(CAMCAM!AS$165)</f>
        <v>204.64796541583337</v>
      </c>
      <c r="AT80" s="1229">
        <f>SUM(CAMCAM!AT$156) + SUM(CAMCAM!AT$163) + SUM(CAMCAM!AT$164) + SUM(CAMCAM!AT$165)</f>
        <v>205.45098171583334</v>
      </c>
      <c r="AU80" s="1229">
        <f>SUM(CAMCAM!AU$156) + SUM(CAMCAM!AU$163) + SUM(CAMCAM!AU$164) + SUM(CAMCAM!AU$165)</f>
        <v>206.24615641583335</v>
      </c>
      <c r="AV80" s="1229">
        <f>SUM(CAMCAM!AV$156) + SUM(CAMCAM!AV$163) + SUM(CAMCAM!AV$164) + SUM(CAMCAM!AV$165)</f>
        <v>207.02019841583336</v>
      </c>
      <c r="AW80" s="1229">
        <f>SUM(CAMCAM!AW$156) + SUM(CAMCAM!AW$163) + SUM(CAMCAM!AW$164) + SUM(CAMCAM!AW$165)</f>
        <v>207.77119261583334</v>
      </c>
      <c r="AX80" s="1229">
        <f>SUM(CAMCAM!AX$156) + SUM(CAMCAM!AX$163) + SUM(CAMCAM!AX$164) + SUM(CAMCAM!AX$165)</f>
        <v>208.51801541583333</v>
      </c>
      <c r="AY80" s="1229">
        <f>SUM(CAMCAM!AY$156) + SUM(CAMCAM!AY$163) + SUM(CAMCAM!AY$164) + SUM(CAMCAM!AY$165)</f>
        <v>209.26919701583336</v>
      </c>
      <c r="AZ80" s="1229">
        <f>SUM(CAMCAM!AZ$156) + SUM(CAMCAM!AZ$163) + SUM(CAMCAM!AZ$164) + SUM(CAMCAM!AZ$165)</f>
        <v>210.03016781583338</v>
      </c>
      <c r="BA80" s="1229">
        <f>SUM(CAMCAM!BA$156) + SUM(CAMCAM!BA$163) + SUM(CAMCAM!BA$164) + SUM(CAMCAM!BA$165)</f>
        <v>210.80011411583334</v>
      </c>
      <c r="BB80" s="1229">
        <f>SUM(CAMCAM!BB$156) + SUM(CAMCAM!BB$163) + SUM(CAMCAM!BB$164) + SUM(CAMCAM!BB$165)</f>
        <v>211.56255121583337</v>
      </c>
      <c r="BC80" s="1229">
        <f>SUM(CAMCAM!BC$156) + SUM(CAMCAM!BC$163) + SUM(CAMCAM!BC$164) + SUM(CAMCAM!BC$165)</f>
        <v>212.31033381583336</v>
      </c>
      <c r="BD80" s="1229">
        <f>SUM(CAMCAM!BD$156) + SUM(CAMCAM!BD$163) + SUM(CAMCAM!BD$164) + SUM(CAMCAM!BD$165)</f>
        <v>213.06034541583335</v>
      </c>
      <c r="BE80" s="1229">
        <f>SUM(CAMCAM!BE$156) + SUM(CAMCAM!BE$163) + SUM(CAMCAM!BE$164) + SUM(CAMCAM!BE$165)</f>
        <v>213.81068021583334</v>
      </c>
      <c r="BF80" s="1229">
        <f>SUM(CAMCAM!BF$156) + SUM(CAMCAM!BF$163) + SUM(CAMCAM!BF$164) + SUM(CAMCAM!BF$165)</f>
        <v>214.56361321583336</v>
      </c>
      <c r="BG80" s="1229">
        <f>SUM(CAMCAM!BG$156) + SUM(CAMCAM!BG$163) + SUM(CAMCAM!BG$164) + SUM(CAMCAM!BG$165)</f>
        <v>215.32247181583335</v>
      </c>
      <c r="BH80" s="1229">
        <f>SUM(CAMCAM!BH$156) + SUM(CAMCAM!BH$163) + SUM(CAMCAM!BH$164) + SUM(CAMCAM!BH$165)</f>
        <v>216.08954171583335</v>
      </c>
      <c r="BI80" s="1229">
        <f>SUM(CAMCAM!BI$156) + SUM(CAMCAM!BI$163) + SUM(CAMCAM!BI$164) + SUM(CAMCAM!BI$165)</f>
        <v>216.85975541583338</v>
      </c>
      <c r="BJ80" s="1229">
        <f>SUM(CAMCAM!BJ$156) + SUM(CAMCAM!BJ$163) + SUM(CAMCAM!BJ$164) + SUM(CAMCAM!BJ$165)</f>
        <v>217.62381381583336</v>
      </c>
      <c r="BK80" s="1229">
        <f>SUM(CAMCAM!BK$156) + SUM(CAMCAM!BK$163) + SUM(CAMCAM!BK$164) + SUM(CAMCAM!BK$165)</f>
        <v>218.39343911583336</v>
      </c>
      <c r="BL80" s="1229">
        <f>SUM(CAMCAM!BL$156) + SUM(CAMCAM!BL$163) + SUM(CAMCAM!BL$164) + SUM(CAMCAM!BL$165)</f>
        <v>219.15509741583335</v>
      </c>
      <c r="BM80" s="1229">
        <f>SUM(CAMCAM!BM$156) + SUM(CAMCAM!BM$163) + SUM(CAMCAM!BM$164) + SUM(CAMCAM!BM$165)</f>
        <v>219.91735481583333</v>
      </c>
      <c r="BN80" s="1229">
        <f>SUM(CAMCAM!BN$156) + SUM(CAMCAM!BN$163) + SUM(CAMCAM!BN$164) + SUM(CAMCAM!BN$165)</f>
        <v>220.69619651583335</v>
      </c>
      <c r="BO80" s="1229">
        <f>SUM(CAMCAM!BO$156) + SUM(CAMCAM!BO$163) + SUM(CAMCAM!BO$164) + SUM(CAMCAM!BO$165)</f>
        <v>221.48546871583338</v>
      </c>
      <c r="BP80" s="1229">
        <f>SUM(CAMCAM!BP$156) + SUM(CAMCAM!BP$163) + SUM(CAMCAM!BP$164) + SUM(CAMCAM!BP$165)</f>
        <v>222.30437971583336</v>
      </c>
      <c r="BQ80" s="1229">
        <f>SUM(CAMCAM!BQ$156) + SUM(CAMCAM!BQ$163) + SUM(CAMCAM!BQ$164) + SUM(CAMCAM!BQ$165)</f>
        <v>223.14361641583335</v>
      </c>
      <c r="BR80" s="1229">
        <f>SUM(CAMCAM!BR$156) + SUM(CAMCAM!BR$163) + SUM(CAMCAM!BR$164) + SUM(CAMCAM!BR$165)</f>
        <v>224.00230561583336</v>
      </c>
      <c r="BS80" s="1229">
        <f>SUM(CAMCAM!BS$156) + SUM(CAMCAM!BS$163) + SUM(CAMCAM!BS$164) + SUM(CAMCAM!BS$165)</f>
        <v>224.86365521583335</v>
      </c>
      <c r="BT80" s="1229">
        <f>SUM(CAMCAM!BT$156) + SUM(CAMCAM!BT$163) + SUM(CAMCAM!BT$164) + SUM(CAMCAM!BT$165)</f>
        <v>225.73522881583335</v>
      </c>
      <c r="BU80" s="1229">
        <f>SUM(CAMCAM!BU$156) + SUM(CAMCAM!BU$163) + SUM(CAMCAM!BU$164) + SUM(CAMCAM!BU$165)</f>
        <v>226.62036381583337</v>
      </c>
      <c r="BV80" s="1229">
        <f>SUM(CAMCAM!BV$156) + SUM(CAMCAM!BV$163) + SUM(CAMCAM!BV$164) + SUM(CAMCAM!BV$165)</f>
        <v>227.52027891583336</v>
      </c>
      <c r="BW80" s="1229">
        <f>SUM(CAMCAM!BW$156) + SUM(CAMCAM!BW$163) + SUM(CAMCAM!BW$164) + SUM(CAMCAM!BW$165)</f>
        <v>228.42128761583336</v>
      </c>
      <c r="BX80" s="1229">
        <f>SUM(CAMCAM!BX$156) + SUM(CAMCAM!BX$163) + SUM(CAMCAM!BX$164) + SUM(CAMCAM!BX$165)</f>
        <v>229.33309581583336</v>
      </c>
      <c r="BY80" s="1229">
        <f>SUM(CAMCAM!BY$156) + SUM(CAMCAM!BY$163) + SUM(CAMCAM!BY$164) + SUM(CAMCAM!BY$165)</f>
        <v>230.25797551583335</v>
      </c>
      <c r="BZ80" s="1229">
        <f>SUM(CAMCAM!BZ$156) + SUM(CAMCAM!BZ$163) + SUM(CAMCAM!BZ$164) + SUM(CAMCAM!BZ$165)</f>
        <v>231.20567761583337</v>
      </c>
      <c r="CA80" s="1229">
        <f>SUM(CAMCAM!CA$156) + SUM(CAMCAM!CA$163) + SUM(CAMCAM!CA$164) + SUM(CAMCAM!CA$165)</f>
        <v>232.15926921583335</v>
      </c>
      <c r="CB80" s="1229">
        <f>SUM(CAMCAM!CB$156) + SUM(CAMCAM!CB$163) + SUM(CAMCAM!CB$164) + SUM(CAMCAM!CB$165)</f>
        <v>233.11886671583335</v>
      </c>
      <c r="CC80" s="1229">
        <f>SUM(CAMCAM!CC$156) + SUM(CAMCAM!CC$163) + SUM(CAMCAM!CC$164) + SUM(CAMCAM!CC$165)</f>
        <v>234.06531241583338</v>
      </c>
      <c r="CD80" s="1229">
        <f>SUM(CAMCAM!CD$156) + SUM(CAMCAM!CD$163) + SUM(CAMCAM!CD$164) + SUM(CAMCAM!CD$165)</f>
        <v>235.01795461583336</v>
      </c>
      <c r="CE80" s="1229">
        <f>SUM(CAMCAM!CE$156) + SUM(CAMCAM!CE$163) + SUM(CAMCAM!CE$164) + SUM(CAMCAM!CE$165)</f>
        <v>235.97046731583336</v>
      </c>
      <c r="CF80" s="1229">
        <f>SUM(CAMCAM!CF$156) + SUM(CAMCAM!CF$163) + SUM(CAMCAM!CF$164) + SUM(CAMCAM!CF$165)</f>
        <v>236.91864621583335</v>
      </c>
      <c r="CG80" s="1229">
        <f>SUM(CAMCAM!CG$156) + SUM(CAMCAM!CG$163) + SUM(CAMCAM!CG$164) + SUM(CAMCAM!CG$165)</f>
        <v>237.84644861583334</v>
      </c>
      <c r="CH80" s="1229">
        <f>SUM(CAMCAM!CH$156) + SUM(CAMCAM!CH$163) + SUM(CAMCAM!CH$164) + SUM(CAMCAM!CH$165)</f>
        <v>238.75928221583337</v>
      </c>
      <c r="CI80" s="1229">
        <f>SUM(CAMCAM!CI$156) + SUM(CAMCAM!CI$163) + SUM(CAMCAM!CI$164) + SUM(CAMCAM!CI$165)</f>
        <v>239.65826631583337</v>
      </c>
      <c r="CJ80" s="438"/>
    </row>
    <row r="81" spans="2:88" ht="14.75" customHeight="1" thickBot="1" x14ac:dyDescent="0.4">
      <c r="C81" s="22"/>
    </row>
    <row r="82" spans="2:88" ht="62.25" customHeight="1" thickBot="1" x14ac:dyDescent="0.4">
      <c r="B82" s="468" t="s">
        <v>768</v>
      </c>
      <c r="C82" s="22"/>
    </row>
    <row r="83" spans="2:88" ht="14.75" customHeight="1" thickBot="1" x14ac:dyDescent="0.4">
      <c r="B83" s="530" t="s">
        <v>65</v>
      </c>
      <c r="C83" s="531" t="s">
        <v>218</v>
      </c>
      <c r="D83" s="531" t="s">
        <v>66</v>
      </c>
      <c r="E83" s="531" t="s">
        <v>219</v>
      </c>
      <c r="F83" s="532" t="s">
        <v>220</v>
      </c>
      <c r="G83" s="521" t="s">
        <v>221</v>
      </c>
      <c r="H83" s="519" t="s">
        <v>222</v>
      </c>
      <c r="I83" s="519" t="s">
        <v>223</v>
      </c>
      <c r="J83" s="519" t="s">
        <v>224</v>
      </c>
      <c r="K83" s="519" t="s">
        <v>225</v>
      </c>
      <c r="L83" s="519" t="s">
        <v>226</v>
      </c>
      <c r="M83" s="519" t="s">
        <v>227</v>
      </c>
      <c r="N83" s="519" t="s">
        <v>228</v>
      </c>
      <c r="O83" s="519" t="s">
        <v>229</v>
      </c>
      <c r="P83" s="519" t="s">
        <v>230</v>
      </c>
      <c r="Q83" s="519" t="s">
        <v>231</v>
      </c>
      <c r="R83" s="519" t="s">
        <v>232</v>
      </c>
      <c r="S83" s="519" t="s">
        <v>233</v>
      </c>
      <c r="T83" s="519" t="s">
        <v>234</v>
      </c>
      <c r="U83" s="519" t="s">
        <v>235</v>
      </c>
      <c r="V83" s="519" t="s">
        <v>236</v>
      </c>
      <c r="W83" s="519" t="s">
        <v>237</v>
      </c>
      <c r="X83" s="519" t="s">
        <v>238</v>
      </c>
      <c r="Y83" s="519" t="s">
        <v>239</v>
      </c>
      <c r="Z83" s="519" t="s">
        <v>240</v>
      </c>
      <c r="AA83" s="519" t="s">
        <v>241</v>
      </c>
      <c r="AB83" s="519" t="s">
        <v>242</v>
      </c>
      <c r="AC83" s="519" t="s">
        <v>243</v>
      </c>
      <c r="AD83" s="519" t="s">
        <v>244</v>
      </c>
      <c r="AE83" s="519" t="s">
        <v>245</v>
      </c>
      <c r="AF83" s="519" t="s">
        <v>246</v>
      </c>
      <c r="AG83" s="519" t="s">
        <v>247</v>
      </c>
      <c r="AH83" s="519" t="s">
        <v>248</v>
      </c>
      <c r="AI83" s="519" t="s">
        <v>249</v>
      </c>
      <c r="AJ83" s="519" t="s">
        <v>250</v>
      </c>
      <c r="AK83" s="519" t="s">
        <v>251</v>
      </c>
      <c r="AL83" s="519" t="s">
        <v>252</v>
      </c>
      <c r="AM83" s="519" t="s">
        <v>253</v>
      </c>
      <c r="AN83" s="519" t="s">
        <v>254</v>
      </c>
      <c r="AO83" s="519" t="s">
        <v>255</v>
      </c>
      <c r="AP83" s="519" t="s">
        <v>256</v>
      </c>
      <c r="AQ83" s="519" t="s">
        <v>257</v>
      </c>
      <c r="AR83" s="519" t="s">
        <v>258</v>
      </c>
      <c r="AS83" s="519" t="s">
        <v>259</v>
      </c>
      <c r="AT83" s="519" t="s">
        <v>260</v>
      </c>
      <c r="AU83" s="519" t="s">
        <v>261</v>
      </c>
      <c r="AV83" s="519" t="s">
        <v>262</v>
      </c>
      <c r="AW83" s="519" t="s">
        <v>263</v>
      </c>
      <c r="AX83" s="519" t="s">
        <v>264</v>
      </c>
      <c r="AY83" s="519" t="s">
        <v>265</v>
      </c>
      <c r="AZ83" s="519" t="s">
        <v>266</v>
      </c>
      <c r="BA83" s="519" t="s">
        <v>267</v>
      </c>
      <c r="BB83" s="519" t="s">
        <v>268</v>
      </c>
      <c r="BC83" s="519" t="s">
        <v>269</v>
      </c>
      <c r="BD83" s="519" t="s">
        <v>270</v>
      </c>
      <c r="BE83" s="519" t="s">
        <v>271</v>
      </c>
      <c r="BF83" s="519" t="s">
        <v>272</v>
      </c>
      <c r="BG83" s="519" t="s">
        <v>273</v>
      </c>
      <c r="BH83" s="519" t="s">
        <v>274</v>
      </c>
      <c r="BI83" s="519" t="s">
        <v>275</v>
      </c>
      <c r="BJ83" s="519" t="s">
        <v>276</v>
      </c>
      <c r="BK83" s="519" t="s">
        <v>277</v>
      </c>
      <c r="BL83" s="519" t="s">
        <v>278</v>
      </c>
      <c r="BM83" s="519" t="s">
        <v>279</v>
      </c>
      <c r="BN83" s="519" t="s">
        <v>280</v>
      </c>
      <c r="BO83" s="519" t="s">
        <v>281</v>
      </c>
      <c r="BP83" s="519" t="s">
        <v>282</v>
      </c>
      <c r="BQ83" s="519" t="s">
        <v>283</v>
      </c>
      <c r="BR83" s="519" t="s">
        <v>284</v>
      </c>
      <c r="BS83" s="519" t="s">
        <v>285</v>
      </c>
      <c r="BT83" s="519" t="s">
        <v>286</v>
      </c>
      <c r="BU83" s="519" t="s">
        <v>287</v>
      </c>
      <c r="BV83" s="519" t="s">
        <v>288</v>
      </c>
      <c r="BW83" s="519" t="s">
        <v>289</v>
      </c>
      <c r="BX83" s="519" t="s">
        <v>290</v>
      </c>
      <c r="BY83" s="519" t="s">
        <v>291</v>
      </c>
      <c r="BZ83" s="519" t="s">
        <v>292</v>
      </c>
      <c r="CA83" s="519" t="s">
        <v>293</v>
      </c>
      <c r="CB83" s="519" t="s">
        <v>294</v>
      </c>
      <c r="CC83" s="519" t="s">
        <v>295</v>
      </c>
      <c r="CD83" s="519" t="s">
        <v>296</v>
      </c>
      <c r="CE83" s="519" t="s">
        <v>297</v>
      </c>
      <c r="CF83" s="519" t="s">
        <v>298</v>
      </c>
      <c r="CG83" s="519" t="s">
        <v>299</v>
      </c>
      <c r="CH83" s="519" t="s">
        <v>300</v>
      </c>
      <c r="CI83" s="519" t="s">
        <v>301</v>
      </c>
      <c r="CJ83" s="519" t="s">
        <v>658</v>
      </c>
    </row>
    <row r="84" spans="2:88" ht="14.75" customHeight="1" x14ac:dyDescent="0.35">
      <c r="B84" s="578" t="s">
        <v>769</v>
      </c>
      <c r="C84" s="562" t="s">
        <v>770</v>
      </c>
      <c r="D84" s="563" t="s">
        <v>82</v>
      </c>
      <c r="E84" s="563" t="s">
        <v>771</v>
      </c>
      <c r="F84" s="564">
        <v>2</v>
      </c>
      <c r="G84" s="366">
        <v>0.05</v>
      </c>
      <c r="H84" s="366">
        <v>0.05</v>
      </c>
      <c r="I84" s="366">
        <v>0.05</v>
      </c>
      <c r="J84" s="366">
        <v>0.05</v>
      </c>
      <c r="K84" s="366">
        <v>0.05</v>
      </c>
      <c r="L84" s="366">
        <v>0.05</v>
      </c>
      <c r="M84" s="366">
        <v>0.05</v>
      </c>
      <c r="N84" s="366">
        <v>0.05</v>
      </c>
      <c r="O84" s="366">
        <v>0.05</v>
      </c>
      <c r="P84" s="366">
        <v>0.05</v>
      </c>
      <c r="Q84" s="366">
        <v>0.05</v>
      </c>
      <c r="R84" s="366">
        <v>0.05</v>
      </c>
      <c r="S84" s="366">
        <v>0.05</v>
      </c>
      <c r="T84" s="366">
        <v>0.05</v>
      </c>
      <c r="U84" s="366">
        <v>0.05</v>
      </c>
      <c r="V84" s="366">
        <v>0.05</v>
      </c>
      <c r="W84" s="366">
        <v>0.05</v>
      </c>
      <c r="X84" s="367">
        <v>0.05</v>
      </c>
      <c r="Y84" s="367">
        <v>0.05</v>
      </c>
      <c r="Z84" s="367">
        <v>0.05</v>
      </c>
      <c r="AA84" s="367">
        <v>0.05</v>
      </c>
      <c r="AB84" s="367">
        <v>0.05</v>
      </c>
      <c r="AC84" s="367">
        <v>0.05</v>
      </c>
      <c r="AD84" s="367">
        <v>0.05</v>
      </c>
      <c r="AE84" s="367">
        <v>0.05</v>
      </c>
      <c r="AF84" s="367">
        <v>0.05</v>
      </c>
      <c r="AG84" s="367">
        <v>0.05</v>
      </c>
      <c r="AH84" s="367">
        <v>0.05</v>
      </c>
      <c r="AI84" s="367">
        <v>0.05</v>
      </c>
      <c r="AJ84" s="367">
        <v>0.05</v>
      </c>
      <c r="AK84" s="367">
        <v>0.05</v>
      </c>
      <c r="AL84" s="367">
        <v>0.05</v>
      </c>
      <c r="AM84" s="367">
        <v>0.05</v>
      </c>
      <c r="AN84" s="367">
        <v>0.05</v>
      </c>
      <c r="AO84" s="367">
        <v>0.05</v>
      </c>
      <c r="AP84" s="367">
        <v>0.05</v>
      </c>
      <c r="AQ84" s="367">
        <v>0.05</v>
      </c>
      <c r="AR84" s="367">
        <v>0.05</v>
      </c>
      <c r="AS84" s="367">
        <v>0.05</v>
      </c>
      <c r="AT84" s="367">
        <v>0.05</v>
      </c>
      <c r="AU84" s="367">
        <v>0.05</v>
      </c>
      <c r="AV84" s="367">
        <v>0.05</v>
      </c>
      <c r="AW84" s="367">
        <v>0.05</v>
      </c>
      <c r="AX84" s="367">
        <v>0.05</v>
      </c>
      <c r="AY84" s="367">
        <v>0.05</v>
      </c>
      <c r="AZ84" s="367">
        <v>0.05</v>
      </c>
      <c r="BA84" s="367">
        <v>0.05</v>
      </c>
      <c r="BB84" s="367">
        <v>0.05</v>
      </c>
      <c r="BC84" s="367">
        <v>0.05</v>
      </c>
      <c r="BD84" s="367">
        <v>0.05</v>
      </c>
      <c r="BE84" s="367">
        <v>0.05</v>
      </c>
      <c r="BF84" s="367">
        <v>0.05</v>
      </c>
      <c r="BG84" s="367">
        <v>0.05</v>
      </c>
      <c r="BH84" s="367">
        <v>0.05</v>
      </c>
      <c r="BI84" s="367">
        <v>0.05</v>
      </c>
      <c r="BJ84" s="367">
        <v>0.05</v>
      </c>
      <c r="BK84" s="367">
        <v>0.05</v>
      </c>
      <c r="BL84" s="367">
        <v>0.05</v>
      </c>
      <c r="BM84" s="367">
        <v>0.05</v>
      </c>
      <c r="BN84" s="367">
        <v>0.05</v>
      </c>
      <c r="BO84" s="367">
        <v>0.05</v>
      </c>
      <c r="BP84" s="367">
        <v>0.05</v>
      </c>
      <c r="BQ84" s="367">
        <v>0.05</v>
      </c>
      <c r="BR84" s="367">
        <v>0.05</v>
      </c>
      <c r="BS84" s="367">
        <v>0.05</v>
      </c>
      <c r="BT84" s="367">
        <v>0.05</v>
      </c>
      <c r="BU84" s="367">
        <v>0.05</v>
      </c>
      <c r="BV84" s="367">
        <v>0.05</v>
      </c>
      <c r="BW84" s="367">
        <v>0.05</v>
      </c>
      <c r="BX84" s="367">
        <v>0.05</v>
      </c>
      <c r="BY84" s="367">
        <v>0.05</v>
      </c>
      <c r="BZ84" s="367">
        <v>0.05</v>
      </c>
      <c r="CA84" s="367">
        <v>0.05</v>
      </c>
      <c r="CB84" s="367">
        <v>0.05</v>
      </c>
      <c r="CC84" s="367">
        <v>0.05</v>
      </c>
      <c r="CD84" s="367">
        <v>0.05</v>
      </c>
      <c r="CE84" s="367">
        <v>0.05</v>
      </c>
      <c r="CF84" s="367">
        <v>0.05</v>
      </c>
      <c r="CG84" s="367">
        <v>0.05</v>
      </c>
      <c r="CH84" s="367">
        <v>0.05</v>
      </c>
      <c r="CI84" s="367">
        <v>0.05</v>
      </c>
      <c r="CJ84" s="367"/>
    </row>
    <row r="85" spans="2:88" ht="14.75" customHeight="1" x14ac:dyDescent="0.35">
      <c r="B85" s="579" t="s">
        <v>772</v>
      </c>
      <c r="C85" s="565" t="s">
        <v>773</v>
      </c>
      <c r="D85" s="566" t="s">
        <v>82</v>
      </c>
      <c r="E85" s="566" t="s">
        <v>771</v>
      </c>
      <c r="F85" s="567">
        <v>2</v>
      </c>
      <c r="G85" s="368">
        <v>0.05</v>
      </c>
      <c r="H85" s="368">
        <v>0.05</v>
      </c>
      <c r="I85" s="368">
        <v>0.05</v>
      </c>
      <c r="J85" s="368">
        <v>0.05</v>
      </c>
      <c r="K85" s="368">
        <v>0.05</v>
      </c>
      <c r="L85" s="368">
        <v>0.05</v>
      </c>
      <c r="M85" s="368">
        <v>0.05</v>
      </c>
      <c r="N85" s="368">
        <v>0.05</v>
      </c>
      <c r="O85" s="368">
        <v>0.05</v>
      </c>
      <c r="P85" s="368">
        <v>0.05</v>
      </c>
      <c r="Q85" s="368">
        <v>0.05</v>
      </c>
      <c r="R85" s="368">
        <v>0.05</v>
      </c>
      <c r="S85" s="368">
        <v>0.05</v>
      </c>
      <c r="T85" s="368">
        <v>0.05</v>
      </c>
      <c r="U85" s="368">
        <v>0.05</v>
      </c>
      <c r="V85" s="368">
        <v>0.05</v>
      </c>
      <c r="W85" s="368">
        <v>0.05</v>
      </c>
      <c r="X85" s="369">
        <v>0.05</v>
      </c>
      <c r="Y85" s="369">
        <v>0.05</v>
      </c>
      <c r="Z85" s="369">
        <v>0.05</v>
      </c>
      <c r="AA85" s="369">
        <v>0.05</v>
      </c>
      <c r="AB85" s="369">
        <v>0.05</v>
      </c>
      <c r="AC85" s="369">
        <v>0.05</v>
      </c>
      <c r="AD85" s="369">
        <v>0.05</v>
      </c>
      <c r="AE85" s="369">
        <v>0.05</v>
      </c>
      <c r="AF85" s="369">
        <v>0.05</v>
      </c>
      <c r="AG85" s="369">
        <v>0.05</v>
      </c>
      <c r="AH85" s="369">
        <v>0.05</v>
      </c>
      <c r="AI85" s="369">
        <v>0.05</v>
      </c>
      <c r="AJ85" s="369">
        <v>0.05</v>
      </c>
      <c r="AK85" s="369">
        <v>0.05</v>
      </c>
      <c r="AL85" s="369">
        <v>0.05</v>
      </c>
      <c r="AM85" s="369">
        <v>0.05</v>
      </c>
      <c r="AN85" s="369">
        <v>0.05</v>
      </c>
      <c r="AO85" s="369">
        <v>0.05</v>
      </c>
      <c r="AP85" s="369">
        <v>0.05</v>
      </c>
      <c r="AQ85" s="369">
        <v>0.05</v>
      </c>
      <c r="AR85" s="369">
        <v>0.05</v>
      </c>
      <c r="AS85" s="369">
        <v>0.05</v>
      </c>
      <c r="AT85" s="369">
        <v>0.05</v>
      </c>
      <c r="AU85" s="369">
        <v>0.05</v>
      </c>
      <c r="AV85" s="369">
        <v>0.05</v>
      </c>
      <c r="AW85" s="369">
        <v>0.05</v>
      </c>
      <c r="AX85" s="369">
        <v>0.05</v>
      </c>
      <c r="AY85" s="369">
        <v>0.05</v>
      </c>
      <c r="AZ85" s="369">
        <v>0.05</v>
      </c>
      <c r="BA85" s="369">
        <v>0.05</v>
      </c>
      <c r="BB85" s="369">
        <v>0.05</v>
      </c>
      <c r="BC85" s="369">
        <v>0.05</v>
      </c>
      <c r="BD85" s="369">
        <v>0.05</v>
      </c>
      <c r="BE85" s="369">
        <v>0.05</v>
      </c>
      <c r="BF85" s="369">
        <v>0.05</v>
      </c>
      <c r="BG85" s="369">
        <v>0.05</v>
      </c>
      <c r="BH85" s="369">
        <v>0.05</v>
      </c>
      <c r="BI85" s="369">
        <v>0.05</v>
      </c>
      <c r="BJ85" s="369">
        <v>0.05</v>
      </c>
      <c r="BK85" s="369">
        <v>0.05</v>
      </c>
      <c r="BL85" s="369">
        <v>0.05</v>
      </c>
      <c r="BM85" s="369">
        <v>0.05</v>
      </c>
      <c r="BN85" s="369">
        <v>0.05</v>
      </c>
      <c r="BO85" s="369">
        <v>0.05</v>
      </c>
      <c r="BP85" s="369">
        <v>0.05</v>
      </c>
      <c r="BQ85" s="369">
        <v>0.05</v>
      </c>
      <c r="BR85" s="369">
        <v>0.05</v>
      </c>
      <c r="BS85" s="369">
        <v>0.05</v>
      </c>
      <c r="BT85" s="369">
        <v>0.05</v>
      </c>
      <c r="BU85" s="369">
        <v>0.05</v>
      </c>
      <c r="BV85" s="369">
        <v>0.05</v>
      </c>
      <c r="BW85" s="369">
        <v>0.05</v>
      </c>
      <c r="BX85" s="369">
        <v>0.05</v>
      </c>
      <c r="BY85" s="369">
        <v>0.05</v>
      </c>
      <c r="BZ85" s="369">
        <v>0.05</v>
      </c>
      <c r="CA85" s="369">
        <v>0.05</v>
      </c>
      <c r="CB85" s="369">
        <v>0.05</v>
      </c>
      <c r="CC85" s="369">
        <v>0.05</v>
      </c>
      <c r="CD85" s="369">
        <v>0.05</v>
      </c>
      <c r="CE85" s="369">
        <v>0.05</v>
      </c>
      <c r="CF85" s="369">
        <v>0.05</v>
      </c>
      <c r="CG85" s="369">
        <v>0.05</v>
      </c>
      <c r="CH85" s="369">
        <v>0.05</v>
      </c>
      <c r="CI85" s="369">
        <v>0.05</v>
      </c>
      <c r="CJ85" s="369"/>
    </row>
    <row r="86" spans="2:88" ht="14.75" customHeight="1" x14ac:dyDescent="0.35">
      <c r="B86" s="579" t="s">
        <v>774</v>
      </c>
      <c r="C86" s="565" t="s">
        <v>775</v>
      </c>
      <c r="D86" s="566" t="s">
        <v>82</v>
      </c>
      <c r="E86" s="566" t="s">
        <v>359</v>
      </c>
      <c r="F86" s="567">
        <v>2</v>
      </c>
      <c r="G86" s="368">
        <v>0</v>
      </c>
      <c r="H86" s="368">
        <v>0</v>
      </c>
      <c r="I86" s="368">
        <v>0</v>
      </c>
      <c r="J86" s="368">
        <v>0</v>
      </c>
      <c r="K86" s="368">
        <v>0</v>
      </c>
      <c r="L86" s="368">
        <v>0</v>
      </c>
      <c r="M86" s="368">
        <v>0</v>
      </c>
      <c r="N86" s="368">
        <v>0</v>
      </c>
      <c r="O86" s="368">
        <v>0</v>
      </c>
      <c r="P86" s="368">
        <v>0</v>
      </c>
      <c r="Q86" s="368">
        <v>0</v>
      </c>
      <c r="R86" s="368">
        <v>0</v>
      </c>
      <c r="S86" s="368">
        <v>0</v>
      </c>
      <c r="T86" s="368">
        <v>0</v>
      </c>
      <c r="U86" s="368">
        <v>0</v>
      </c>
      <c r="V86" s="368">
        <v>0</v>
      </c>
      <c r="W86" s="368">
        <v>0</v>
      </c>
      <c r="X86" s="368">
        <v>0</v>
      </c>
      <c r="Y86" s="368">
        <v>0</v>
      </c>
      <c r="Z86" s="368">
        <v>0</v>
      </c>
      <c r="AA86" s="368">
        <v>0</v>
      </c>
      <c r="AB86" s="368">
        <v>0</v>
      </c>
      <c r="AC86" s="368">
        <v>0</v>
      </c>
      <c r="AD86" s="368">
        <v>0</v>
      </c>
      <c r="AE86" s="368">
        <v>0</v>
      </c>
      <c r="AF86" s="368">
        <v>0</v>
      </c>
      <c r="AG86" s="368">
        <v>0</v>
      </c>
      <c r="AH86" s="368">
        <v>0</v>
      </c>
      <c r="AI86" s="368">
        <v>0</v>
      </c>
      <c r="AJ86" s="368">
        <v>0</v>
      </c>
      <c r="AK86" s="368">
        <v>0</v>
      </c>
      <c r="AL86" s="368">
        <v>0</v>
      </c>
      <c r="AM86" s="368">
        <v>0</v>
      </c>
      <c r="AN86" s="368">
        <v>0</v>
      </c>
      <c r="AO86" s="368">
        <v>0</v>
      </c>
      <c r="AP86" s="368">
        <v>0</v>
      </c>
      <c r="AQ86" s="368">
        <v>0</v>
      </c>
      <c r="AR86" s="368">
        <v>0</v>
      </c>
      <c r="AS86" s="368">
        <v>0</v>
      </c>
      <c r="AT86" s="368">
        <v>0</v>
      </c>
      <c r="AU86" s="368">
        <v>0</v>
      </c>
      <c r="AV86" s="368">
        <v>0</v>
      </c>
      <c r="AW86" s="368">
        <v>0</v>
      </c>
      <c r="AX86" s="368">
        <v>0</v>
      </c>
      <c r="AY86" s="368">
        <v>0</v>
      </c>
      <c r="AZ86" s="368">
        <v>0</v>
      </c>
      <c r="BA86" s="368">
        <v>0</v>
      </c>
      <c r="BB86" s="368">
        <v>0</v>
      </c>
      <c r="BC86" s="368">
        <v>0</v>
      </c>
      <c r="BD86" s="368">
        <v>0</v>
      </c>
      <c r="BE86" s="368">
        <v>0</v>
      </c>
      <c r="BF86" s="368">
        <v>0</v>
      </c>
      <c r="BG86" s="368">
        <v>0</v>
      </c>
      <c r="BH86" s="368">
        <v>0</v>
      </c>
      <c r="BI86" s="368">
        <v>0</v>
      </c>
      <c r="BJ86" s="368">
        <v>0</v>
      </c>
      <c r="BK86" s="368">
        <v>0</v>
      </c>
      <c r="BL86" s="368">
        <v>0</v>
      </c>
      <c r="BM86" s="368">
        <v>0</v>
      </c>
      <c r="BN86" s="368">
        <v>0</v>
      </c>
      <c r="BO86" s="368">
        <v>0</v>
      </c>
      <c r="BP86" s="368">
        <v>0</v>
      </c>
      <c r="BQ86" s="368">
        <v>0</v>
      </c>
      <c r="BR86" s="368">
        <v>0</v>
      </c>
      <c r="BS86" s="368">
        <v>0</v>
      </c>
      <c r="BT86" s="368">
        <v>0</v>
      </c>
      <c r="BU86" s="368">
        <v>0</v>
      </c>
      <c r="BV86" s="368">
        <v>0</v>
      </c>
      <c r="BW86" s="368">
        <v>0</v>
      </c>
      <c r="BX86" s="368">
        <v>0</v>
      </c>
      <c r="BY86" s="368">
        <v>0</v>
      </c>
      <c r="BZ86" s="368">
        <v>0</v>
      </c>
      <c r="CA86" s="368">
        <v>0</v>
      </c>
      <c r="CB86" s="368">
        <v>0</v>
      </c>
      <c r="CC86" s="368">
        <v>0</v>
      </c>
      <c r="CD86" s="368">
        <v>0</v>
      </c>
      <c r="CE86" s="368">
        <v>0</v>
      </c>
      <c r="CF86" s="368">
        <v>0</v>
      </c>
      <c r="CG86" s="368">
        <v>0</v>
      </c>
      <c r="CH86" s="368">
        <v>0</v>
      </c>
      <c r="CI86" s="368">
        <v>0</v>
      </c>
      <c r="CJ86" s="369"/>
    </row>
    <row r="87" spans="2:88" x14ac:dyDescent="0.35">
      <c r="B87" s="579" t="s">
        <v>776</v>
      </c>
      <c r="C87" s="565" t="s">
        <v>777</v>
      </c>
      <c r="D87" s="566" t="s">
        <v>82</v>
      </c>
      <c r="E87" s="566" t="s">
        <v>771</v>
      </c>
      <c r="F87" s="567">
        <v>2</v>
      </c>
      <c r="G87" s="368">
        <v>0</v>
      </c>
      <c r="H87" s="368">
        <v>0</v>
      </c>
      <c r="I87" s="368">
        <v>0</v>
      </c>
      <c r="J87" s="368">
        <v>0</v>
      </c>
      <c r="K87" s="368">
        <v>0</v>
      </c>
      <c r="L87" s="368">
        <v>0</v>
      </c>
      <c r="M87" s="368">
        <v>0</v>
      </c>
      <c r="N87" s="368">
        <v>0</v>
      </c>
      <c r="O87" s="368">
        <v>0</v>
      </c>
      <c r="P87" s="368">
        <v>0</v>
      </c>
      <c r="Q87" s="368">
        <v>0</v>
      </c>
      <c r="R87" s="368">
        <v>0</v>
      </c>
      <c r="S87" s="368">
        <v>0</v>
      </c>
      <c r="T87" s="368">
        <v>0</v>
      </c>
      <c r="U87" s="368">
        <v>0</v>
      </c>
      <c r="V87" s="368">
        <v>0</v>
      </c>
      <c r="W87" s="368">
        <v>0</v>
      </c>
      <c r="X87" s="368">
        <v>0</v>
      </c>
      <c r="Y87" s="368">
        <v>0</v>
      </c>
      <c r="Z87" s="368">
        <v>0</v>
      </c>
      <c r="AA87" s="368">
        <v>0</v>
      </c>
      <c r="AB87" s="368">
        <v>0</v>
      </c>
      <c r="AC87" s="368">
        <v>0</v>
      </c>
      <c r="AD87" s="368">
        <v>0</v>
      </c>
      <c r="AE87" s="368">
        <v>0</v>
      </c>
      <c r="AF87" s="368">
        <v>0</v>
      </c>
      <c r="AG87" s="368">
        <v>0</v>
      </c>
      <c r="AH87" s="368">
        <v>0</v>
      </c>
      <c r="AI87" s="368">
        <v>0</v>
      </c>
      <c r="AJ87" s="368">
        <v>0</v>
      </c>
      <c r="AK87" s="368">
        <v>0</v>
      </c>
      <c r="AL87" s="368">
        <v>0</v>
      </c>
      <c r="AM87" s="368">
        <v>0</v>
      </c>
      <c r="AN87" s="368">
        <v>0</v>
      </c>
      <c r="AO87" s="368">
        <v>0</v>
      </c>
      <c r="AP87" s="368">
        <v>0</v>
      </c>
      <c r="AQ87" s="368">
        <v>0</v>
      </c>
      <c r="AR87" s="368">
        <v>0</v>
      </c>
      <c r="AS87" s="368">
        <v>0</v>
      </c>
      <c r="AT87" s="368">
        <v>0</v>
      </c>
      <c r="AU87" s="368">
        <v>0</v>
      </c>
      <c r="AV87" s="368">
        <v>0</v>
      </c>
      <c r="AW87" s="368">
        <v>0</v>
      </c>
      <c r="AX87" s="368">
        <v>0</v>
      </c>
      <c r="AY87" s="368">
        <v>0</v>
      </c>
      <c r="AZ87" s="368">
        <v>0</v>
      </c>
      <c r="BA87" s="368">
        <v>0</v>
      </c>
      <c r="BB87" s="368">
        <v>0</v>
      </c>
      <c r="BC87" s="368">
        <v>0</v>
      </c>
      <c r="BD87" s="368">
        <v>0</v>
      </c>
      <c r="BE87" s="368">
        <v>0</v>
      </c>
      <c r="BF87" s="368">
        <v>0</v>
      </c>
      <c r="BG87" s="368">
        <v>0</v>
      </c>
      <c r="BH87" s="368">
        <v>0</v>
      </c>
      <c r="BI87" s="368">
        <v>0</v>
      </c>
      <c r="BJ87" s="368">
        <v>0</v>
      </c>
      <c r="BK87" s="368">
        <v>0</v>
      </c>
      <c r="BL87" s="368">
        <v>0</v>
      </c>
      <c r="BM87" s="368">
        <v>0</v>
      </c>
      <c r="BN87" s="368">
        <v>0</v>
      </c>
      <c r="BO87" s="368">
        <v>0</v>
      </c>
      <c r="BP87" s="368">
        <v>0</v>
      </c>
      <c r="BQ87" s="368">
        <v>0</v>
      </c>
      <c r="BR87" s="368">
        <v>0</v>
      </c>
      <c r="BS87" s="368">
        <v>0</v>
      </c>
      <c r="BT87" s="368">
        <v>0</v>
      </c>
      <c r="BU87" s="368">
        <v>0</v>
      </c>
      <c r="BV87" s="368">
        <v>0</v>
      </c>
      <c r="BW87" s="368">
        <v>0</v>
      </c>
      <c r="BX87" s="368">
        <v>0</v>
      </c>
      <c r="BY87" s="368">
        <v>0</v>
      </c>
      <c r="BZ87" s="368">
        <v>0</v>
      </c>
      <c r="CA87" s="368">
        <v>0</v>
      </c>
      <c r="CB87" s="368">
        <v>0</v>
      </c>
      <c r="CC87" s="368">
        <v>0</v>
      </c>
      <c r="CD87" s="368">
        <v>0</v>
      </c>
      <c r="CE87" s="368">
        <v>0</v>
      </c>
      <c r="CF87" s="368">
        <v>0</v>
      </c>
      <c r="CG87" s="368">
        <v>0</v>
      </c>
      <c r="CH87" s="368">
        <v>0</v>
      </c>
      <c r="CI87" s="368">
        <v>0</v>
      </c>
      <c r="CJ87" s="369"/>
    </row>
    <row r="88" spans="2:88" x14ac:dyDescent="0.35">
      <c r="B88" s="579" t="s">
        <v>778</v>
      </c>
      <c r="C88" s="565" t="s">
        <v>779</v>
      </c>
      <c r="D88" s="566" t="s">
        <v>82</v>
      </c>
      <c r="E88" s="566" t="s">
        <v>359</v>
      </c>
      <c r="F88" s="567">
        <v>2</v>
      </c>
      <c r="G88" s="368">
        <v>0.02</v>
      </c>
      <c r="H88" s="368">
        <v>0.02</v>
      </c>
      <c r="I88" s="368">
        <v>0.02</v>
      </c>
      <c r="J88" s="368">
        <v>0.02</v>
      </c>
      <c r="K88" s="368">
        <v>0.02</v>
      </c>
      <c r="L88" s="368">
        <v>0.02</v>
      </c>
      <c r="M88" s="368">
        <v>0.02</v>
      </c>
      <c r="N88" s="368">
        <v>0.02</v>
      </c>
      <c r="O88" s="368">
        <v>0.02</v>
      </c>
      <c r="P88" s="368">
        <v>0.02</v>
      </c>
      <c r="Q88" s="368">
        <v>0.02</v>
      </c>
      <c r="R88" s="368">
        <v>0.02</v>
      </c>
      <c r="S88" s="368">
        <v>0.02</v>
      </c>
      <c r="T88" s="368">
        <v>0.02</v>
      </c>
      <c r="U88" s="368">
        <v>0.02</v>
      </c>
      <c r="V88" s="368">
        <v>0.02</v>
      </c>
      <c r="W88" s="368">
        <v>0.02</v>
      </c>
      <c r="X88" s="369">
        <v>0.02</v>
      </c>
      <c r="Y88" s="369">
        <v>0.02</v>
      </c>
      <c r="Z88" s="369">
        <v>0.02</v>
      </c>
      <c r="AA88" s="369">
        <v>0.02</v>
      </c>
      <c r="AB88" s="369">
        <v>0.02</v>
      </c>
      <c r="AC88" s="369">
        <v>0.02</v>
      </c>
      <c r="AD88" s="369">
        <v>0.02</v>
      </c>
      <c r="AE88" s="369">
        <v>0.02</v>
      </c>
      <c r="AF88" s="369">
        <v>0.02</v>
      </c>
      <c r="AG88" s="369">
        <v>0.02</v>
      </c>
      <c r="AH88" s="369">
        <v>0.02</v>
      </c>
      <c r="AI88" s="369">
        <v>0.02</v>
      </c>
      <c r="AJ88" s="369">
        <v>0.02</v>
      </c>
      <c r="AK88" s="369">
        <v>0.02</v>
      </c>
      <c r="AL88" s="369">
        <v>0.02</v>
      </c>
      <c r="AM88" s="369">
        <v>0.02</v>
      </c>
      <c r="AN88" s="369">
        <v>0.02</v>
      </c>
      <c r="AO88" s="369">
        <v>0.02</v>
      </c>
      <c r="AP88" s="369">
        <v>0.02</v>
      </c>
      <c r="AQ88" s="369">
        <v>0.02</v>
      </c>
      <c r="AR88" s="369">
        <v>0.02</v>
      </c>
      <c r="AS88" s="369">
        <v>0.02</v>
      </c>
      <c r="AT88" s="369">
        <v>0.02</v>
      </c>
      <c r="AU88" s="369">
        <v>0.02</v>
      </c>
      <c r="AV88" s="369">
        <v>0.02</v>
      </c>
      <c r="AW88" s="369">
        <v>0.02</v>
      </c>
      <c r="AX88" s="369">
        <v>0.02</v>
      </c>
      <c r="AY88" s="369">
        <v>0.02</v>
      </c>
      <c r="AZ88" s="369">
        <v>0.02</v>
      </c>
      <c r="BA88" s="369">
        <v>0.02</v>
      </c>
      <c r="BB88" s="369">
        <v>0.02</v>
      </c>
      <c r="BC88" s="369">
        <v>0.02</v>
      </c>
      <c r="BD88" s="369">
        <v>0.02</v>
      </c>
      <c r="BE88" s="369">
        <v>0.02</v>
      </c>
      <c r="BF88" s="369">
        <v>0.02</v>
      </c>
      <c r="BG88" s="369">
        <v>0.02</v>
      </c>
      <c r="BH88" s="369">
        <v>0.02</v>
      </c>
      <c r="BI88" s="369">
        <v>0.02</v>
      </c>
      <c r="BJ88" s="369">
        <v>0.02</v>
      </c>
      <c r="BK88" s="369">
        <v>0.02</v>
      </c>
      <c r="BL88" s="369">
        <v>0.02</v>
      </c>
      <c r="BM88" s="369">
        <v>0.02</v>
      </c>
      <c r="BN88" s="369">
        <v>0.02</v>
      </c>
      <c r="BO88" s="369">
        <v>0.02</v>
      </c>
      <c r="BP88" s="369">
        <v>0.02</v>
      </c>
      <c r="BQ88" s="369">
        <v>0.02</v>
      </c>
      <c r="BR88" s="369">
        <v>0.02</v>
      </c>
      <c r="BS88" s="369">
        <v>0.02</v>
      </c>
      <c r="BT88" s="369">
        <v>0.02</v>
      </c>
      <c r="BU88" s="369">
        <v>0.02</v>
      </c>
      <c r="BV88" s="369">
        <v>0.02</v>
      </c>
      <c r="BW88" s="369">
        <v>0.02</v>
      </c>
      <c r="BX88" s="369">
        <v>0.02</v>
      </c>
      <c r="BY88" s="369">
        <v>0.02</v>
      </c>
      <c r="BZ88" s="369">
        <v>0.02</v>
      </c>
      <c r="CA88" s="369">
        <v>0.02</v>
      </c>
      <c r="CB88" s="369">
        <v>0.02</v>
      </c>
      <c r="CC88" s="369">
        <v>0.02</v>
      </c>
      <c r="CD88" s="369">
        <v>0.02</v>
      </c>
      <c r="CE88" s="369">
        <v>0.02</v>
      </c>
      <c r="CF88" s="369">
        <v>0.02</v>
      </c>
      <c r="CG88" s="369">
        <v>0.02</v>
      </c>
      <c r="CH88" s="369">
        <v>0.02</v>
      </c>
      <c r="CI88" s="369">
        <v>0.02</v>
      </c>
      <c r="CJ88" s="369"/>
    </row>
    <row r="89" spans="2:88" x14ac:dyDescent="0.35">
      <c r="B89" s="579" t="s">
        <v>780</v>
      </c>
      <c r="C89" s="565" t="s">
        <v>781</v>
      </c>
      <c r="D89" s="566" t="s">
        <v>82</v>
      </c>
      <c r="E89" s="566" t="s">
        <v>771</v>
      </c>
      <c r="F89" s="567">
        <v>2</v>
      </c>
      <c r="G89" s="368">
        <v>0.02</v>
      </c>
      <c r="H89" s="368">
        <v>0.02</v>
      </c>
      <c r="I89" s="368">
        <v>0.02</v>
      </c>
      <c r="J89" s="368">
        <v>0.02</v>
      </c>
      <c r="K89" s="368">
        <v>0.02</v>
      </c>
      <c r="L89" s="368">
        <v>0.02</v>
      </c>
      <c r="M89" s="368">
        <v>0.02</v>
      </c>
      <c r="N89" s="368">
        <v>0.02</v>
      </c>
      <c r="O89" s="368">
        <v>0.02</v>
      </c>
      <c r="P89" s="368">
        <v>0.02</v>
      </c>
      <c r="Q89" s="368">
        <v>0.02</v>
      </c>
      <c r="R89" s="368">
        <v>0.02</v>
      </c>
      <c r="S89" s="368">
        <v>0.02</v>
      </c>
      <c r="T89" s="368">
        <v>0.02</v>
      </c>
      <c r="U89" s="368">
        <v>0.02</v>
      </c>
      <c r="V89" s="368">
        <v>0.02</v>
      </c>
      <c r="W89" s="368">
        <v>0.02</v>
      </c>
      <c r="X89" s="369">
        <v>0.02</v>
      </c>
      <c r="Y89" s="369">
        <v>0.02</v>
      </c>
      <c r="Z89" s="369">
        <v>0.02</v>
      </c>
      <c r="AA89" s="369">
        <v>0.02</v>
      </c>
      <c r="AB89" s="369">
        <v>0.02</v>
      </c>
      <c r="AC89" s="369">
        <v>0.02</v>
      </c>
      <c r="AD89" s="369">
        <v>0.02</v>
      </c>
      <c r="AE89" s="369">
        <v>0.02</v>
      </c>
      <c r="AF89" s="369">
        <v>0.02</v>
      </c>
      <c r="AG89" s="369">
        <v>0.02</v>
      </c>
      <c r="AH89" s="369">
        <v>0.02</v>
      </c>
      <c r="AI89" s="369">
        <v>0.02</v>
      </c>
      <c r="AJ89" s="369">
        <v>0.02</v>
      </c>
      <c r="AK89" s="369">
        <v>0.02</v>
      </c>
      <c r="AL89" s="369">
        <v>0.02</v>
      </c>
      <c r="AM89" s="369">
        <v>0.02</v>
      </c>
      <c r="AN89" s="369">
        <v>0.02</v>
      </c>
      <c r="AO89" s="369">
        <v>0.02</v>
      </c>
      <c r="AP89" s="369">
        <v>0.02</v>
      </c>
      <c r="AQ89" s="369">
        <v>0.02</v>
      </c>
      <c r="AR89" s="369">
        <v>0.02</v>
      </c>
      <c r="AS89" s="369">
        <v>0.02</v>
      </c>
      <c r="AT89" s="369">
        <v>0.02</v>
      </c>
      <c r="AU89" s="369">
        <v>0.02</v>
      </c>
      <c r="AV89" s="369">
        <v>0.02</v>
      </c>
      <c r="AW89" s="369">
        <v>0.02</v>
      </c>
      <c r="AX89" s="369">
        <v>0.02</v>
      </c>
      <c r="AY89" s="369">
        <v>0.02</v>
      </c>
      <c r="AZ89" s="369">
        <v>0.02</v>
      </c>
      <c r="BA89" s="369">
        <v>0.02</v>
      </c>
      <c r="BB89" s="369">
        <v>0.02</v>
      </c>
      <c r="BC89" s="369">
        <v>0.02</v>
      </c>
      <c r="BD89" s="369">
        <v>0.02</v>
      </c>
      <c r="BE89" s="369">
        <v>0.02</v>
      </c>
      <c r="BF89" s="369">
        <v>0.02</v>
      </c>
      <c r="BG89" s="369">
        <v>0.02</v>
      </c>
      <c r="BH89" s="369">
        <v>0.02</v>
      </c>
      <c r="BI89" s="369">
        <v>0.02</v>
      </c>
      <c r="BJ89" s="369">
        <v>0.02</v>
      </c>
      <c r="BK89" s="369">
        <v>0.02</v>
      </c>
      <c r="BL89" s="369">
        <v>0.02</v>
      </c>
      <c r="BM89" s="369">
        <v>0.02</v>
      </c>
      <c r="BN89" s="369">
        <v>0.02</v>
      </c>
      <c r="BO89" s="369">
        <v>0.02</v>
      </c>
      <c r="BP89" s="369">
        <v>0.02</v>
      </c>
      <c r="BQ89" s="369">
        <v>0.02</v>
      </c>
      <c r="BR89" s="369">
        <v>0.02</v>
      </c>
      <c r="BS89" s="369">
        <v>0.02</v>
      </c>
      <c r="BT89" s="369">
        <v>0.02</v>
      </c>
      <c r="BU89" s="369">
        <v>0.02</v>
      </c>
      <c r="BV89" s="369">
        <v>0.02</v>
      </c>
      <c r="BW89" s="369">
        <v>0.02</v>
      </c>
      <c r="BX89" s="369">
        <v>0.02</v>
      </c>
      <c r="BY89" s="369">
        <v>0.02</v>
      </c>
      <c r="BZ89" s="369">
        <v>0.02</v>
      </c>
      <c r="CA89" s="369">
        <v>0.02</v>
      </c>
      <c r="CB89" s="369">
        <v>0.02</v>
      </c>
      <c r="CC89" s="369">
        <v>0.02</v>
      </c>
      <c r="CD89" s="369">
        <v>0.02</v>
      </c>
      <c r="CE89" s="369">
        <v>0.02</v>
      </c>
      <c r="CF89" s="369">
        <v>0.02</v>
      </c>
      <c r="CG89" s="369">
        <v>0.02</v>
      </c>
      <c r="CH89" s="369">
        <v>0.02</v>
      </c>
      <c r="CI89" s="369">
        <v>0.02</v>
      </c>
      <c r="CJ89" s="369"/>
    </row>
    <row r="90" spans="2:88" x14ac:dyDescent="0.35">
      <c r="B90" s="579" t="s">
        <v>782</v>
      </c>
      <c r="C90" s="565" t="s">
        <v>783</v>
      </c>
      <c r="D90" s="566" t="s">
        <v>82</v>
      </c>
      <c r="E90" s="566" t="s">
        <v>771</v>
      </c>
      <c r="F90" s="567">
        <v>2</v>
      </c>
      <c r="G90" s="368">
        <v>0</v>
      </c>
      <c r="H90" s="368">
        <v>0</v>
      </c>
      <c r="I90" s="368">
        <v>0</v>
      </c>
      <c r="J90" s="368">
        <v>0</v>
      </c>
      <c r="K90" s="368">
        <v>0</v>
      </c>
      <c r="L90" s="368">
        <v>0</v>
      </c>
      <c r="M90" s="368">
        <v>0</v>
      </c>
      <c r="N90" s="368">
        <v>0</v>
      </c>
      <c r="O90" s="368">
        <v>0</v>
      </c>
      <c r="P90" s="368">
        <v>0</v>
      </c>
      <c r="Q90" s="368">
        <v>0</v>
      </c>
      <c r="R90" s="368">
        <v>0</v>
      </c>
      <c r="S90" s="368">
        <v>0</v>
      </c>
      <c r="T90" s="368">
        <v>0</v>
      </c>
      <c r="U90" s="368">
        <v>0</v>
      </c>
      <c r="V90" s="368">
        <v>0</v>
      </c>
      <c r="W90" s="368">
        <v>0</v>
      </c>
      <c r="X90" s="368">
        <v>0</v>
      </c>
      <c r="Y90" s="368">
        <v>0</v>
      </c>
      <c r="Z90" s="368">
        <v>0</v>
      </c>
      <c r="AA90" s="368">
        <v>0</v>
      </c>
      <c r="AB90" s="368">
        <v>0</v>
      </c>
      <c r="AC90" s="368">
        <v>0</v>
      </c>
      <c r="AD90" s="368">
        <v>0</v>
      </c>
      <c r="AE90" s="368">
        <v>0</v>
      </c>
      <c r="AF90" s="368">
        <v>0</v>
      </c>
      <c r="AG90" s="368">
        <v>0</v>
      </c>
      <c r="AH90" s="368">
        <v>0</v>
      </c>
      <c r="AI90" s="368">
        <v>0</v>
      </c>
      <c r="AJ90" s="368">
        <v>0</v>
      </c>
      <c r="AK90" s="368">
        <v>0</v>
      </c>
      <c r="AL90" s="368">
        <v>0</v>
      </c>
      <c r="AM90" s="368">
        <v>0</v>
      </c>
      <c r="AN90" s="368">
        <v>0</v>
      </c>
      <c r="AO90" s="368">
        <v>0</v>
      </c>
      <c r="AP90" s="368">
        <v>0</v>
      </c>
      <c r="AQ90" s="368">
        <v>0</v>
      </c>
      <c r="AR90" s="368">
        <v>0</v>
      </c>
      <c r="AS90" s="368">
        <v>0</v>
      </c>
      <c r="AT90" s="368">
        <v>0</v>
      </c>
      <c r="AU90" s="368">
        <v>0</v>
      </c>
      <c r="AV90" s="368">
        <v>0</v>
      </c>
      <c r="AW90" s="368">
        <v>0</v>
      </c>
      <c r="AX90" s="368">
        <v>0</v>
      </c>
      <c r="AY90" s="368">
        <v>0</v>
      </c>
      <c r="AZ90" s="368">
        <v>0</v>
      </c>
      <c r="BA90" s="368">
        <v>0</v>
      </c>
      <c r="BB90" s="368">
        <v>0</v>
      </c>
      <c r="BC90" s="368">
        <v>0</v>
      </c>
      <c r="BD90" s="368">
        <v>0</v>
      </c>
      <c r="BE90" s="368">
        <v>0</v>
      </c>
      <c r="BF90" s="368">
        <v>0</v>
      </c>
      <c r="BG90" s="368">
        <v>0</v>
      </c>
      <c r="BH90" s="368">
        <v>0</v>
      </c>
      <c r="BI90" s="368">
        <v>0</v>
      </c>
      <c r="BJ90" s="368">
        <v>0</v>
      </c>
      <c r="BK90" s="368">
        <v>0</v>
      </c>
      <c r="BL90" s="368">
        <v>0</v>
      </c>
      <c r="BM90" s="368">
        <v>0</v>
      </c>
      <c r="BN90" s="368">
        <v>0</v>
      </c>
      <c r="BO90" s="368">
        <v>0</v>
      </c>
      <c r="BP90" s="368">
        <v>0</v>
      </c>
      <c r="BQ90" s="368">
        <v>0</v>
      </c>
      <c r="BR90" s="368">
        <v>0</v>
      </c>
      <c r="BS90" s="368">
        <v>0</v>
      </c>
      <c r="BT90" s="368">
        <v>0</v>
      </c>
      <c r="BU90" s="368">
        <v>0</v>
      </c>
      <c r="BV90" s="368">
        <v>0</v>
      </c>
      <c r="BW90" s="368">
        <v>0</v>
      </c>
      <c r="BX90" s="368">
        <v>0</v>
      </c>
      <c r="BY90" s="368">
        <v>0</v>
      </c>
      <c r="BZ90" s="368">
        <v>0</v>
      </c>
      <c r="CA90" s="368">
        <v>0</v>
      </c>
      <c r="CB90" s="368">
        <v>0</v>
      </c>
      <c r="CC90" s="368">
        <v>0</v>
      </c>
      <c r="CD90" s="368">
        <v>0</v>
      </c>
      <c r="CE90" s="368">
        <v>0</v>
      </c>
      <c r="CF90" s="368">
        <v>0</v>
      </c>
      <c r="CG90" s="368">
        <v>0</v>
      </c>
      <c r="CH90" s="368">
        <v>0</v>
      </c>
      <c r="CI90" s="368">
        <v>0</v>
      </c>
      <c r="CJ90" s="369"/>
    </row>
    <row r="91" spans="2:88" ht="14.5" thickBot="1" x14ac:dyDescent="0.4">
      <c r="B91" s="580" t="s">
        <v>784</v>
      </c>
      <c r="C91" s="581" t="s">
        <v>785</v>
      </c>
      <c r="D91" s="582" t="s">
        <v>82</v>
      </c>
      <c r="E91" s="582" t="s">
        <v>359</v>
      </c>
      <c r="F91" s="583">
        <v>2</v>
      </c>
      <c r="G91" s="368">
        <v>0</v>
      </c>
      <c r="H91" s="368">
        <v>0</v>
      </c>
      <c r="I91" s="368">
        <v>0</v>
      </c>
      <c r="J91" s="368">
        <v>0</v>
      </c>
      <c r="K91" s="368">
        <v>0</v>
      </c>
      <c r="L91" s="368">
        <v>0</v>
      </c>
      <c r="M91" s="368">
        <v>0</v>
      </c>
      <c r="N91" s="368">
        <v>0</v>
      </c>
      <c r="O91" s="368">
        <v>0</v>
      </c>
      <c r="P91" s="368">
        <v>0</v>
      </c>
      <c r="Q91" s="368">
        <v>0</v>
      </c>
      <c r="R91" s="368">
        <v>0</v>
      </c>
      <c r="S91" s="368">
        <v>0</v>
      </c>
      <c r="T91" s="368">
        <v>0</v>
      </c>
      <c r="U91" s="368">
        <v>0</v>
      </c>
      <c r="V91" s="368">
        <v>0</v>
      </c>
      <c r="W91" s="368">
        <v>0</v>
      </c>
      <c r="X91" s="368">
        <v>0</v>
      </c>
      <c r="Y91" s="368">
        <v>0</v>
      </c>
      <c r="Z91" s="368">
        <v>0</v>
      </c>
      <c r="AA91" s="368">
        <v>0</v>
      </c>
      <c r="AB91" s="368">
        <v>0</v>
      </c>
      <c r="AC91" s="368">
        <v>0</v>
      </c>
      <c r="AD91" s="368">
        <v>0</v>
      </c>
      <c r="AE91" s="368">
        <v>0</v>
      </c>
      <c r="AF91" s="368">
        <v>0</v>
      </c>
      <c r="AG91" s="368">
        <v>0</v>
      </c>
      <c r="AH91" s="368">
        <v>0</v>
      </c>
      <c r="AI91" s="368">
        <v>0</v>
      </c>
      <c r="AJ91" s="368">
        <v>0</v>
      </c>
      <c r="AK91" s="368">
        <v>0</v>
      </c>
      <c r="AL91" s="368">
        <v>0</v>
      </c>
      <c r="AM91" s="368">
        <v>0</v>
      </c>
      <c r="AN91" s="368">
        <v>0</v>
      </c>
      <c r="AO91" s="368">
        <v>0</v>
      </c>
      <c r="AP91" s="368">
        <v>0</v>
      </c>
      <c r="AQ91" s="368">
        <v>0</v>
      </c>
      <c r="AR91" s="368">
        <v>0</v>
      </c>
      <c r="AS91" s="368">
        <v>0</v>
      </c>
      <c r="AT91" s="368">
        <v>0</v>
      </c>
      <c r="AU91" s="368">
        <v>0</v>
      </c>
      <c r="AV91" s="368">
        <v>0</v>
      </c>
      <c r="AW91" s="368">
        <v>0</v>
      </c>
      <c r="AX91" s="368">
        <v>0</v>
      </c>
      <c r="AY91" s="368">
        <v>0</v>
      </c>
      <c r="AZ91" s="368">
        <v>0</v>
      </c>
      <c r="BA91" s="368">
        <v>0</v>
      </c>
      <c r="BB91" s="368">
        <v>0</v>
      </c>
      <c r="BC91" s="368">
        <v>0</v>
      </c>
      <c r="BD91" s="368">
        <v>0</v>
      </c>
      <c r="BE91" s="368">
        <v>0</v>
      </c>
      <c r="BF91" s="368">
        <v>0</v>
      </c>
      <c r="BG91" s="368">
        <v>0</v>
      </c>
      <c r="BH91" s="368">
        <v>0</v>
      </c>
      <c r="BI91" s="368">
        <v>0</v>
      </c>
      <c r="BJ91" s="368">
        <v>0</v>
      </c>
      <c r="BK91" s="368">
        <v>0</v>
      </c>
      <c r="BL91" s="368">
        <v>0</v>
      </c>
      <c r="BM91" s="368">
        <v>0</v>
      </c>
      <c r="BN91" s="368">
        <v>0</v>
      </c>
      <c r="BO91" s="368">
        <v>0</v>
      </c>
      <c r="BP91" s="368">
        <v>0</v>
      </c>
      <c r="BQ91" s="368">
        <v>0</v>
      </c>
      <c r="BR91" s="368">
        <v>0</v>
      </c>
      <c r="BS91" s="368">
        <v>0</v>
      </c>
      <c r="BT91" s="368">
        <v>0</v>
      </c>
      <c r="BU91" s="368">
        <v>0</v>
      </c>
      <c r="BV91" s="368">
        <v>0</v>
      </c>
      <c r="BW91" s="368">
        <v>0</v>
      </c>
      <c r="BX91" s="368">
        <v>0</v>
      </c>
      <c r="BY91" s="368">
        <v>0</v>
      </c>
      <c r="BZ91" s="368">
        <v>0</v>
      </c>
      <c r="CA91" s="368">
        <v>0</v>
      </c>
      <c r="CB91" s="368">
        <v>0</v>
      </c>
      <c r="CC91" s="368">
        <v>0</v>
      </c>
      <c r="CD91" s="368">
        <v>0</v>
      </c>
      <c r="CE91" s="368">
        <v>0</v>
      </c>
      <c r="CF91" s="368">
        <v>0</v>
      </c>
      <c r="CG91" s="368">
        <v>0</v>
      </c>
      <c r="CH91" s="368">
        <v>0</v>
      </c>
      <c r="CI91" s="368">
        <v>0</v>
      </c>
      <c r="CJ91" s="370"/>
    </row>
  </sheetData>
  <phoneticPr fontId="38" type="noConversion"/>
  <pageMargins left="0.7" right="0.7" top="0.75" bottom="0.75" header="0.3" footer="0.3"/>
  <pageSetup paperSize="9"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DC402"/>
  <sheetViews>
    <sheetView topLeftCell="E1" zoomScale="79" zoomScaleNormal="79" workbookViewId="0">
      <selection activeCell="J186" sqref="J186"/>
    </sheetView>
  </sheetViews>
  <sheetFormatPr defaultColWidth="9.15234375" defaultRowHeight="14" x14ac:dyDescent="0.35"/>
  <cols>
    <col min="1" max="1" width="8.84375" style="58" customWidth="1"/>
    <col min="2" max="3" width="34.84375" style="58" customWidth="1"/>
    <col min="4" max="4" width="34.15234375" style="58" customWidth="1"/>
    <col min="5" max="5" width="7.84375" style="58" customWidth="1"/>
    <col min="6" max="6" width="14.4609375" style="58" customWidth="1"/>
    <col min="7" max="7" width="17.4609375" style="58" customWidth="1"/>
    <col min="8" max="86" width="8.15234375" style="58" customWidth="1"/>
    <col min="87" max="87" width="9.15234375" style="58" customWidth="1"/>
    <col min="88" max="88" width="8.15234375" style="58" bestFit="1" customWidth="1"/>
    <col min="89" max="89" width="10.84375" style="58" customWidth="1"/>
    <col min="90" max="90" width="44.07421875" style="58" customWidth="1"/>
    <col min="91" max="91" width="4.4609375" style="58" hidden="1" customWidth="1"/>
    <col min="92" max="92" width="0" style="58" hidden="1" customWidth="1"/>
    <col min="93" max="93" width="7" style="58" hidden="1" customWidth="1"/>
    <col min="94" max="94" width="4.53515625" style="58" hidden="1" customWidth="1"/>
    <col min="95" max="97" width="4.84375" style="58" hidden="1" customWidth="1"/>
    <col min="98" max="98" width="7.84375" style="58" hidden="1" customWidth="1"/>
    <col min="99" max="99" width="6.84375" style="58" hidden="1" customWidth="1"/>
    <col min="100" max="100" width="4.84375" style="58" hidden="1" customWidth="1"/>
    <col min="101" max="103" width="5.4609375" style="58" hidden="1" customWidth="1"/>
    <col min="104" max="104" width="4.84375" style="58" hidden="1" customWidth="1"/>
    <col min="105" max="105" width="3.84375" style="58" hidden="1" customWidth="1"/>
    <col min="106" max="107" width="5.4609375" style="58" hidden="1" customWidth="1"/>
    <col min="108" max="235" width="9.15234375" style="58"/>
    <col min="236" max="236" width="1.15234375" style="58" customWidth="1"/>
    <col min="237" max="237" width="8.15234375" style="58" customWidth="1"/>
    <col min="238" max="238" width="8.84375" style="58" customWidth="1"/>
    <col min="239" max="239" width="24.53515625" style="58" customWidth="1"/>
    <col min="240" max="240" width="22.4609375" style="58" customWidth="1"/>
    <col min="241" max="241" width="9.84375" style="58" customWidth="1"/>
    <col min="242" max="242" width="8.4609375" style="58" bestFit="1" customWidth="1"/>
    <col min="243" max="243" width="16.84375" style="58" customWidth="1"/>
    <col min="244" max="271" width="12" style="58" customWidth="1"/>
    <col min="272" max="491" width="9.15234375" style="58"/>
    <col min="492" max="492" width="1.15234375" style="58" customWidth="1"/>
    <col min="493" max="493" width="8.15234375" style="58" customWidth="1"/>
    <col min="494" max="494" width="8.84375" style="58" customWidth="1"/>
    <col min="495" max="495" width="24.53515625" style="58" customWidth="1"/>
    <col min="496" max="496" width="22.4609375" style="58" customWidth="1"/>
    <col min="497" max="497" width="9.84375" style="58" customWidth="1"/>
    <col min="498" max="498" width="8.4609375" style="58" bestFit="1" customWidth="1"/>
    <col min="499" max="499" width="16.84375" style="58" customWidth="1"/>
    <col min="500" max="527" width="12" style="58" customWidth="1"/>
    <col min="528" max="747" width="9.15234375" style="58"/>
    <col min="748" max="748" width="1.15234375" style="58" customWidth="1"/>
    <col min="749" max="749" width="8.15234375" style="58" customWidth="1"/>
    <col min="750" max="750" width="8.84375" style="58" customWidth="1"/>
    <col min="751" max="751" width="24.53515625" style="58" customWidth="1"/>
    <col min="752" max="752" width="22.4609375" style="58" customWidth="1"/>
    <col min="753" max="753" width="9.84375" style="58" customWidth="1"/>
    <col min="754" max="754" width="8.4609375" style="58" bestFit="1" customWidth="1"/>
    <col min="755" max="755" width="16.84375" style="58" customWidth="1"/>
    <col min="756" max="783" width="12" style="58" customWidth="1"/>
    <col min="784" max="1003" width="9.15234375" style="58"/>
    <col min="1004" max="1004" width="1.15234375" style="58" customWidth="1"/>
    <col min="1005" max="1005" width="8.15234375" style="58" customWidth="1"/>
    <col min="1006" max="1006" width="8.84375" style="58" customWidth="1"/>
    <col min="1007" max="1007" width="24.53515625" style="58" customWidth="1"/>
    <col min="1008" max="1008" width="22.4609375" style="58" customWidth="1"/>
    <col min="1009" max="1009" width="9.84375" style="58" customWidth="1"/>
    <col min="1010" max="1010" width="8.4609375" style="58" bestFit="1" customWidth="1"/>
    <col min="1011" max="1011" width="16.84375" style="58" customWidth="1"/>
    <col min="1012" max="1039" width="12" style="58" customWidth="1"/>
    <col min="1040" max="1259" width="9.15234375" style="58"/>
    <col min="1260" max="1260" width="1.15234375" style="58" customWidth="1"/>
    <col min="1261" max="1261" width="8.15234375" style="58" customWidth="1"/>
    <col min="1262" max="1262" width="8.84375" style="58" customWidth="1"/>
    <col min="1263" max="1263" width="24.53515625" style="58" customWidth="1"/>
    <col min="1264" max="1264" width="22.4609375" style="58" customWidth="1"/>
    <col min="1265" max="1265" width="9.84375" style="58" customWidth="1"/>
    <col min="1266" max="1266" width="8.4609375" style="58" bestFit="1" customWidth="1"/>
    <col min="1267" max="1267" width="16.84375" style="58" customWidth="1"/>
    <col min="1268" max="1295" width="12" style="58" customWidth="1"/>
    <col min="1296" max="1515" width="9.15234375" style="58"/>
    <col min="1516" max="1516" width="1.15234375" style="58" customWidth="1"/>
    <col min="1517" max="1517" width="8.15234375" style="58" customWidth="1"/>
    <col min="1518" max="1518" width="8.84375" style="58" customWidth="1"/>
    <col min="1519" max="1519" width="24.53515625" style="58" customWidth="1"/>
    <col min="1520" max="1520" width="22.4609375" style="58" customWidth="1"/>
    <col min="1521" max="1521" width="9.84375" style="58" customWidth="1"/>
    <col min="1522" max="1522" width="8.4609375" style="58" bestFit="1" customWidth="1"/>
    <col min="1523" max="1523" width="16.84375" style="58" customWidth="1"/>
    <col min="1524" max="1551" width="12" style="58" customWidth="1"/>
    <col min="1552" max="1771" width="9.15234375" style="58"/>
    <col min="1772" max="1772" width="1.15234375" style="58" customWidth="1"/>
    <col min="1773" max="1773" width="8.15234375" style="58" customWidth="1"/>
    <col min="1774" max="1774" width="8.84375" style="58" customWidth="1"/>
    <col min="1775" max="1775" width="24.53515625" style="58" customWidth="1"/>
    <col min="1776" max="1776" width="22.4609375" style="58" customWidth="1"/>
    <col min="1777" max="1777" width="9.84375" style="58" customWidth="1"/>
    <col min="1778" max="1778" width="8.4609375" style="58" bestFit="1" customWidth="1"/>
    <col min="1779" max="1779" width="16.84375" style="58" customWidth="1"/>
    <col min="1780" max="1807" width="12" style="58" customWidth="1"/>
    <col min="1808" max="2027" width="9.15234375" style="58"/>
    <col min="2028" max="2028" width="1.15234375" style="58" customWidth="1"/>
    <col min="2029" max="2029" width="8.15234375" style="58" customWidth="1"/>
    <col min="2030" max="2030" width="8.84375" style="58" customWidth="1"/>
    <col min="2031" max="2031" width="24.53515625" style="58" customWidth="1"/>
    <col min="2032" max="2032" width="22.4609375" style="58" customWidth="1"/>
    <col min="2033" max="2033" width="9.84375" style="58" customWidth="1"/>
    <col min="2034" max="2034" width="8.4609375" style="58" bestFit="1" customWidth="1"/>
    <col min="2035" max="2035" width="16.84375" style="58" customWidth="1"/>
    <col min="2036" max="2063" width="12" style="58" customWidth="1"/>
    <col min="2064" max="2283" width="9.15234375" style="58"/>
    <col min="2284" max="2284" width="1.15234375" style="58" customWidth="1"/>
    <col min="2285" max="2285" width="8.15234375" style="58" customWidth="1"/>
    <col min="2286" max="2286" width="8.84375" style="58" customWidth="1"/>
    <col min="2287" max="2287" width="24.53515625" style="58" customWidth="1"/>
    <col min="2288" max="2288" width="22.4609375" style="58" customWidth="1"/>
    <col min="2289" max="2289" width="9.84375" style="58" customWidth="1"/>
    <col min="2290" max="2290" width="8.4609375" style="58" bestFit="1" customWidth="1"/>
    <col min="2291" max="2291" width="16.84375" style="58" customWidth="1"/>
    <col min="2292" max="2319" width="12" style="58" customWidth="1"/>
    <col min="2320" max="2539" width="9.15234375" style="58"/>
    <col min="2540" max="2540" width="1.15234375" style="58" customWidth="1"/>
    <col min="2541" max="2541" width="8.15234375" style="58" customWidth="1"/>
    <col min="2542" max="2542" width="8.84375" style="58" customWidth="1"/>
    <col min="2543" max="2543" width="24.53515625" style="58" customWidth="1"/>
    <col min="2544" max="2544" width="22.4609375" style="58" customWidth="1"/>
    <col min="2545" max="2545" width="9.84375" style="58" customWidth="1"/>
    <col min="2546" max="2546" width="8.4609375" style="58" bestFit="1" customWidth="1"/>
    <col min="2547" max="2547" width="16.84375" style="58" customWidth="1"/>
    <col min="2548" max="2575" width="12" style="58" customWidth="1"/>
    <col min="2576" max="2795" width="9.15234375" style="58"/>
    <col min="2796" max="2796" width="1.15234375" style="58" customWidth="1"/>
    <col min="2797" max="2797" width="8.15234375" style="58" customWidth="1"/>
    <col min="2798" max="2798" width="8.84375" style="58" customWidth="1"/>
    <col min="2799" max="2799" width="24.53515625" style="58" customWidth="1"/>
    <col min="2800" max="2800" width="22.4609375" style="58" customWidth="1"/>
    <col min="2801" max="2801" width="9.84375" style="58" customWidth="1"/>
    <col min="2802" max="2802" width="8.4609375" style="58" bestFit="1" customWidth="1"/>
    <col min="2803" max="2803" width="16.84375" style="58" customWidth="1"/>
    <col min="2804" max="2831" width="12" style="58" customWidth="1"/>
    <col min="2832" max="3051" width="9.15234375" style="58"/>
    <col min="3052" max="3052" width="1.15234375" style="58" customWidth="1"/>
    <col min="3053" max="3053" width="8.15234375" style="58" customWidth="1"/>
    <col min="3054" max="3054" width="8.84375" style="58" customWidth="1"/>
    <col min="3055" max="3055" width="24.53515625" style="58" customWidth="1"/>
    <col min="3056" max="3056" width="22.4609375" style="58" customWidth="1"/>
    <col min="3057" max="3057" width="9.84375" style="58" customWidth="1"/>
    <col min="3058" max="3058" width="8.4609375" style="58" bestFit="1" customWidth="1"/>
    <col min="3059" max="3059" width="16.84375" style="58" customWidth="1"/>
    <col min="3060" max="3087" width="12" style="58" customWidth="1"/>
    <col min="3088" max="3307" width="9.15234375" style="58"/>
    <col min="3308" max="3308" width="1.15234375" style="58" customWidth="1"/>
    <col min="3309" max="3309" width="8.15234375" style="58" customWidth="1"/>
    <col min="3310" max="3310" width="8.84375" style="58" customWidth="1"/>
    <col min="3311" max="3311" width="24.53515625" style="58" customWidth="1"/>
    <col min="3312" max="3312" width="22.4609375" style="58" customWidth="1"/>
    <col min="3313" max="3313" width="9.84375" style="58" customWidth="1"/>
    <col min="3314" max="3314" width="8.4609375" style="58" bestFit="1" customWidth="1"/>
    <col min="3315" max="3315" width="16.84375" style="58" customWidth="1"/>
    <col min="3316" max="3343" width="12" style="58" customWidth="1"/>
    <col min="3344" max="3563" width="9.15234375" style="58"/>
    <col min="3564" max="3564" width="1.15234375" style="58" customWidth="1"/>
    <col min="3565" max="3565" width="8.15234375" style="58" customWidth="1"/>
    <col min="3566" max="3566" width="8.84375" style="58" customWidth="1"/>
    <col min="3567" max="3567" width="24.53515625" style="58" customWidth="1"/>
    <col min="3568" max="3568" width="22.4609375" style="58" customWidth="1"/>
    <col min="3569" max="3569" width="9.84375" style="58" customWidth="1"/>
    <col min="3570" max="3570" width="8.4609375" style="58" bestFit="1" customWidth="1"/>
    <col min="3571" max="3571" width="16.84375" style="58" customWidth="1"/>
    <col min="3572" max="3599" width="12" style="58" customWidth="1"/>
    <col min="3600" max="3819" width="9.15234375" style="58"/>
    <col min="3820" max="3820" width="1.15234375" style="58" customWidth="1"/>
    <col min="3821" max="3821" width="8.15234375" style="58" customWidth="1"/>
    <col min="3822" max="3822" width="8.84375" style="58" customWidth="1"/>
    <col min="3823" max="3823" width="24.53515625" style="58" customWidth="1"/>
    <col min="3824" max="3824" width="22.4609375" style="58" customWidth="1"/>
    <col min="3825" max="3825" width="9.84375" style="58" customWidth="1"/>
    <col min="3826" max="3826" width="8.4609375" style="58" bestFit="1" customWidth="1"/>
    <col min="3827" max="3827" width="16.84375" style="58" customWidth="1"/>
    <col min="3828" max="3855" width="12" style="58" customWidth="1"/>
    <col min="3856" max="4075" width="9.15234375" style="58"/>
    <col min="4076" max="4076" width="1.15234375" style="58" customWidth="1"/>
    <col min="4077" max="4077" width="8.15234375" style="58" customWidth="1"/>
    <col min="4078" max="4078" width="8.84375" style="58" customWidth="1"/>
    <col min="4079" max="4079" width="24.53515625" style="58" customWidth="1"/>
    <col min="4080" max="4080" width="22.4609375" style="58" customWidth="1"/>
    <col min="4081" max="4081" width="9.84375" style="58" customWidth="1"/>
    <col min="4082" max="4082" width="8.4609375" style="58" bestFit="1" customWidth="1"/>
    <col min="4083" max="4083" width="16.84375" style="58" customWidth="1"/>
    <col min="4084" max="4111" width="12" style="58" customWidth="1"/>
    <col min="4112" max="4331" width="9.15234375" style="58"/>
    <col min="4332" max="4332" width="1.15234375" style="58" customWidth="1"/>
    <col min="4333" max="4333" width="8.15234375" style="58" customWidth="1"/>
    <col min="4334" max="4334" width="8.84375" style="58" customWidth="1"/>
    <col min="4335" max="4335" width="24.53515625" style="58" customWidth="1"/>
    <col min="4336" max="4336" width="22.4609375" style="58" customWidth="1"/>
    <col min="4337" max="4337" width="9.84375" style="58" customWidth="1"/>
    <col min="4338" max="4338" width="8.4609375" style="58" bestFit="1" customWidth="1"/>
    <col min="4339" max="4339" width="16.84375" style="58" customWidth="1"/>
    <col min="4340" max="4367" width="12" style="58" customWidth="1"/>
    <col min="4368" max="4587" width="9.15234375" style="58"/>
    <col min="4588" max="4588" width="1.15234375" style="58" customWidth="1"/>
    <col min="4589" max="4589" width="8.15234375" style="58" customWidth="1"/>
    <col min="4590" max="4590" width="8.84375" style="58" customWidth="1"/>
    <col min="4591" max="4591" width="24.53515625" style="58" customWidth="1"/>
    <col min="4592" max="4592" width="22.4609375" style="58" customWidth="1"/>
    <col min="4593" max="4593" width="9.84375" style="58" customWidth="1"/>
    <col min="4594" max="4594" width="8.4609375" style="58" bestFit="1" customWidth="1"/>
    <col min="4595" max="4595" width="16.84375" style="58" customWidth="1"/>
    <col min="4596" max="4623" width="12" style="58" customWidth="1"/>
    <col min="4624" max="4843" width="9.15234375" style="58"/>
    <col min="4844" max="4844" width="1.15234375" style="58" customWidth="1"/>
    <col min="4845" max="4845" width="8.15234375" style="58" customWidth="1"/>
    <col min="4846" max="4846" width="8.84375" style="58" customWidth="1"/>
    <col min="4847" max="4847" width="24.53515625" style="58" customWidth="1"/>
    <col min="4848" max="4848" width="22.4609375" style="58" customWidth="1"/>
    <col min="4849" max="4849" width="9.84375" style="58" customWidth="1"/>
    <col min="4850" max="4850" width="8.4609375" style="58" bestFit="1" customWidth="1"/>
    <col min="4851" max="4851" width="16.84375" style="58" customWidth="1"/>
    <col min="4852" max="4879" width="12" style="58" customWidth="1"/>
    <col min="4880" max="5099" width="9.15234375" style="58"/>
    <col min="5100" max="5100" width="1.15234375" style="58" customWidth="1"/>
    <col min="5101" max="5101" width="8.15234375" style="58" customWidth="1"/>
    <col min="5102" max="5102" width="8.84375" style="58" customWidth="1"/>
    <col min="5103" max="5103" width="24.53515625" style="58" customWidth="1"/>
    <col min="5104" max="5104" width="22.4609375" style="58" customWidth="1"/>
    <col min="5105" max="5105" width="9.84375" style="58" customWidth="1"/>
    <col min="5106" max="5106" width="8.4609375" style="58" bestFit="1" customWidth="1"/>
    <col min="5107" max="5107" width="16.84375" style="58" customWidth="1"/>
    <col min="5108" max="5135" width="12" style="58" customWidth="1"/>
    <col min="5136" max="5355" width="9.15234375" style="58"/>
    <col min="5356" max="5356" width="1.15234375" style="58" customWidth="1"/>
    <col min="5357" max="5357" width="8.15234375" style="58" customWidth="1"/>
    <col min="5358" max="5358" width="8.84375" style="58" customWidth="1"/>
    <col min="5359" max="5359" width="24.53515625" style="58" customWidth="1"/>
    <col min="5360" max="5360" width="22.4609375" style="58" customWidth="1"/>
    <col min="5361" max="5361" width="9.84375" style="58" customWidth="1"/>
    <col min="5362" max="5362" width="8.4609375" style="58" bestFit="1" customWidth="1"/>
    <col min="5363" max="5363" width="16.84375" style="58" customWidth="1"/>
    <col min="5364" max="5391" width="12" style="58" customWidth="1"/>
    <col min="5392" max="5611" width="9.15234375" style="58"/>
    <col min="5612" max="5612" width="1.15234375" style="58" customWidth="1"/>
    <col min="5613" max="5613" width="8.15234375" style="58" customWidth="1"/>
    <col min="5614" max="5614" width="8.84375" style="58" customWidth="1"/>
    <col min="5615" max="5615" width="24.53515625" style="58" customWidth="1"/>
    <col min="5616" max="5616" width="22.4609375" style="58" customWidth="1"/>
    <col min="5617" max="5617" width="9.84375" style="58" customWidth="1"/>
    <col min="5618" max="5618" width="8.4609375" style="58" bestFit="1" customWidth="1"/>
    <col min="5619" max="5619" width="16.84375" style="58" customWidth="1"/>
    <col min="5620" max="5647" width="12" style="58" customWidth="1"/>
    <col min="5648" max="5867" width="9.15234375" style="58"/>
    <col min="5868" max="5868" width="1.15234375" style="58" customWidth="1"/>
    <col min="5869" max="5869" width="8.15234375" style="58" customWidth="1"/>
    <col min="5870" max="5870" width="8.84375" style="58" customWidth="1"/>
    <col min="5871" max="5871" width="24.53515625" style="58" customWidth="1"/>
    <col min="5872" max="5872" width="22.4609375" style="58" customWidth="1"/>
    <col min="5873" max="5873" width="9.84375" style="58" customWidth="1"/>
    <col min="5874" max="5874" width="8.4609375" style="58" bestFit="1" customWidth="1"/>
    <col min="5875" max="5875" width="16.84375" style="58" customWidth="1"/>
    <col min="5876" max="5903" width="12" style="58" customWidth="1"/>
    <col min="5904" max="6123" width="9.15234375" style="58"/>
    <col min="6124" max="6124" width="1.15234375" style="58" customWidth="1"/>
    <col min="6125" max="6125" width="8.15234375" style="58" customWidth="1"/>
    <col min="6126" max="6126" width="8.84375" style="58" customWidth="1"/>
    <col min="6127" max="6127" width="24.53515625" style="58" customWidth="1"/>
    <col min="6128" max="6128" width="22.4609375" style="58" customWidth="1"/>
    <col min="6129" max="6129" width="9.84375" style="58" customWidth="1"/>
    <col min="6130" max="6130" width="8.4609375" style="58" bestFit="1" customWidth="1"/>
    <col min="6131" max="6131" width="16.84375" style="58" customWidth="1"/>
    <col min="6132" max="6159" width="12" style="58" customWidth="1"/>
    <col min="6160" max="6379" width="9.15234375" style="58"/>
    <col min="6380" max="6380" width="1.15234375" style="58" customWidth="1"/>
    <col min="6381" max="6381" width="8.15234375" style="58" customWidth="1"/>
    <col min="6382" max="6382" width="8.84375" style="58" customWidth="1"/>
    <col min="6383" max="6383" width="24.53515625" style="58" customWidth="1"/>
    <col min="6384" max="6384" width="22.4609375" style="58" customWidth="1"/>
    <col min="6385" max="6385" width="9.84375" style="58" customWidth="1"/>
    <col min="6386" max="6386" width="8.4609375" style="58" bestFit="1" customWidth="1"/>
    <col min="6387" max="6387" width="16.84375" style="58" customWidth="1"/>
    <col min="6388" max="6415" width="12" style="58" customWidth="1"/>
    <col min="6416" max="6635" width="9.15234375" style="58"/>
    <col min="6636" max="6636" width="1.15234375" style="58" customWidth="1"/>
    <col min="6637" max="6637" width="8.15234375" style="58" customWidth="1"/>
    <col min="6638" max="6638" width="8.84375" style="58" customWidth="1"/>
    <col min="6639" max="6639" width="24.53515625" style="58" customWidth="1"/>
    <col min="6640" max="6640" width="22.4609375" style="58" customWidth="1"/>
    <col min="6641" max="6641" width="9.84375" style="58" customWidth="1"/>
    <col min="6642" max="6642" width="8.4609375" style="58" bestFit="1" customWidth="1"/>
    <col min="6643" max="6643" width="16.84375" style="58" customWidth="1"/>
    <col min="6644" max="6671" width="12" style="58" customWidth="1"/>
    <col min="6672" max="6891" width="9.15234375" style="58"/>
    <col min="6892" max="6892" width="1.15234375" style="58" customWidth="1"/>
    <col min="6893" max="6893" width="8.15234375" style="58" customWidth="1"/>
    <col min="6894" max="6894" width="8.84375" style="58" customWidth="1"/>
    <col min="6895" max="6895" width="24.53515625" style="58" customWidth="1"/>
    <col min="6896" max="6896" width="22.4609375" style="58" customWidth="1"/>
    <col min="6897" max="6897" width="9.84375" style="58" customWidth="1"/>
    <col min="6898" max="6898" width="8.4609375" style="58" bestFit="1" customWidth="1"/>
    <col min="6899" max="6899" width="16.84375" style="58" customWidth="1"/>
    <col min="6900" max="6927" width="12" style="58" customWidth="1"/>
    <col min="6928" max="7147" width="9.15234375" style="58"/>
    <col min="7148" max="7148" width="1.15234375" style="58" customWidth="1"/>
    <col min="7149" max="7149" width="8.15234375" style="58" customWidth="1"/>
    <col min="7150" max="7150" width="8.84375" style="58" customWidth="1"/>
    <col min="7151" max="7151" width="24.53515625" style="58" customWidth="1"/>
    <col min="7152" max="7152" width="22.4609375" style="58" customWidth="1"/>
    <col min="7153" max="7153" width="9.84375" style="58" customWidth="1"/>
    <col min="7154" max="7154" width="8.4609375" style="58" bestFit="1" customWidth="1"/>
    <col min="7155" max="7155" width="16.84375" style="58" customWidth="1"/>
    <col min="7156" max="7183" width="12" style="58" customWidth="1"/>
    <col min="7184" max="7403" width="9.15234375" style="58"/>
    <col min="7404" max="7404" width="1.15234375" style="58" customWidth="1"/>
    <col min="7405" max="7405" width="8.15234375" style="58" customWidth="1"/>
    <col min="7406" max="7406" width="8.84375" style="58" customWidth="1"/>
    <col min="7407" max="7407" width="24.53515625" style="58" customWidth="1"/>
    <col min="7408" max="7408" width="22.4609375" style="58" customWidth="1"/>
    <col min="7409" max="7409" width="9.84375" style="58" customWidth="1"/>
    <col min="7410" max="7410" width="8.4609375" style="58" bestFit="1" customWidth="1"/>
    <col min="7411" max="7411" width="16.84375" style="58" customWidth="1"/>
    <col min="7412" max="7439" width="12" style="58" customWidth="1"/>
    <col min="7440" max="7659" width="9.15234375" style="58"/>
    <col min="7660" max="7660" width="1.15234375" style="58" customWidth="1"/>
    <col min="7661" max="7661" width="8.15234375" style="58" customWidth="1"/>
    <col min="7662" max="7662" width="8.84375" style="58" customWidth="1"/>
    <col min="7663" max="7663" width="24.53515625" style="58" customWidth="1"/>
    <col min="7664" max="7664" width="22.4609375" style="58" customWidth="1"/>
    <col min="7665" max="7665" width="9.84375" style="58" customWidth="1"/>
    <col min="7666" max="7666" width="8.4609375" style="58" bestFit="1" customWidth="1"/>
    <col min="7667" max="7667" width="16.84375" style="58" customWidth="1"/>
    <col min="7668" max="7695" width="12" style="58" customWidth="1"/>
    <col min="7696" max="7915" width="9.15234375" style="58"/>
    <col min="7916" max="7916" width="1.15234375" style="58" customWidth="1"/>
    <col min="7917" max="7917" width="8.15234375" style="58" customWidth="1"/>
    <col min="7918" max="7918" width="8.84375" style="58" customWidth="1"/>
    <col min="7919" max="7919" width="24.53515625" style="58" customWidth="1"/>
    <col min="7920" max="7920" width="22.4609375" style="58" customWidth="1"/>
    <col min="7921" max="7921" width="9.84375" style="58" customWidth="1"/>
    <col min="7922" max="7922" width="8.4609375" style="58" bestFit="1" customWidth="1"/>
    <col min="7923" max="7923" width="16.84375" style="58" customWidth="1"/>
    <col min="7924" max="7951" width="12" style="58" customWidth="1"/>
    <col min="7952" max="8171" width="9.15234375" style="58"/>
    <col min="8172" max="8172" width="1.15234375" style="58" customWidth="1"/>
    <col min="8173" max="8173" width="8.15234375" style="58" customWidth="1"/>
    <col min="8174" max="8174" width="8.84375" style="58" customWidth="1"/>
    <col min="8175" max="8175" width="24.53515625" style="58" customWidth="1"/>
    <col min="8176" max="8176" width="22.4609375" style="58" customWidth="1"/>
    <col min="8177" max="8177" width="9.84375" style="58" customWidth="1"/>
    <col min="8178" max="8178" width="8.4609375" style="58" bestFit="1" customWidth="1"/>
    <col min="8179" max="8179" width="16.84375" style="58" customWidth="1"/>
    <col min="8180" max="8207" width="12" style="58" customWidth="1"/>
    <col min="8208" max="8427" width="9.15234375" style="58"/>
    <col min="8428" max="8428" width="1.15234375" style="58" customWidth="1"/>
    <col min="8429" max="8429" width="8.15234375" style="58" customWidth="1"/>
    <col min="8430" max="8430" width="8.84375" style="58" customWidth="1"/>
    <col min="8431" max="8431" width="24.53515625" style="58" customWidth="1"/>
    <col min="8432" max="8432" width="22.4609375" style="58" customWidth="1"/>
    <col min="8433" max="8433" width="9.84375" style="58" customWidth="1"/>
    <col min="8434" max="8434" width="8.4609375" style="58" bestFit="1" customWidth="1"/>
    <col min="8435" max="8435" width="16.84375" style="58" customWidth="1"/>
    <col min="8436" max="8463" width="12" style="58" customWidth="1"/>
    <col min="8464" max="8683" width="9.15234375" style="58"/>
    <col min="8684" max="8684" width="1.15234375" style="58" customWidth="1"/>
    <col min="8685" max="8685" width="8.15234375" style="58" customWidth="1"/>
    <col min="8686" max="8686" width="8.84375" style="58" customWidth="1"/>
    <col min="8687" max="8687" width="24.53515625" style="58" customWidth="1"/>
    <col min="8688" max="8688" width="22.4609375" style="58" customWidth="1"/>
    <col min="8689" max="8689" width="9.84375" style="58" customWidth="1"/>
    <col min="8690" max="8690" width="8.4609375" style="58" bestFit="1" customWidth="1"/>
    <col min="8691" max="8691" width="16.84375" style="58" customWidth="1"/>
    <col min="8692" max="8719" width="12" style="58" customWidth="1"/>
    <col min="8720" max="8939" width="9.15234375" style="58"/>
    <col min="8940" max="8940" width="1.15234375" style="58" customWidth="1"/>
    <col min="8941" max="8941" width="8.15234375" style="58" customWidth="1"/>
    <col min="8942" max="8942" width="8.84375" style="58" customWidth="1"/>
    <col min="8943" max="8943" width="24.53515625" style="58" customWidth="1"/>
    <col min="8944" max="8944" width="22.4609375" style="58" customWidth="1"/>
    <col min="8945" max="8945" width="9.84375" style="58" customWidth="1"/>
    <col min="8946" max="8946" width="8.4609375" style="58" bestFit="1" customWidth="1"/>
    <col min="8947" max="8947" width="16.84375" style="58" customWidth="1"/>
    <col min="8948" max="8975" width="12" style="58" customWidth="1"/>
    <col min="8976" max="9195" width="9.15234375" style="58"/>
    <col min="9196" max="9196" width="1.15234375" style="58" customWidth="1"/>
    <col min="9197" max="9197" width="8.15234375" style="58" customWidth="1"/>
    <col min="9198" max="9198" width="8.84375" style="58" customWidth="1"/>
    <col min="9199" max="9199" width="24.53515625" style="58" customWidth="1"/>
    <col min="9200" max="9200" width="22.4609375" style="58" customWidth="1"/>
    <col min="9201" max="9201" width="9.84375" style="58" customWidth="1"/>
    <col min="9202" max="9202" width="8.4609375" style="58" bestFit="1" customWidth="1"/>
    <col min="9203" max="9203" width="16.84375" style="58" customWidth="1"/>
    <col min="9204" max="9231" width="12" style="58" customWidth="1"/>
    <col min="9232" max="9451" width="9.15234375" style="58"/>
    <col min="9452" max="9452" width="1.15234375" style="58" customWidth="1"/>
    <col min="9453" max="9453" width="8.15234375" style="58" customWidth="1"/>
    <col min="9454" max="9454" width="8.84375" style="58" customWidth="1"/>
    <col min="9455" max="9455" width="24.53515625" style="58" customWidth="1"/>
    <col min="9456" max="9456" width="22.4609375" style="58" customWidth="1"/>
    <col min="9457" max="9457" width="9.84375" style="58" customWidth="1"/>
    <col min="9458" max="9458" width="8.4609375" style="58" bestFit="1" customWidth="1"/>
    <col min="9459" max="9459" width="16.84375" style="58" customWidth="1"/>
    <col min="9460" max="9487" width="12" style="58" customWidth="1"/>
    <col min="9488" max="9707" width="9.15234375" style="58"/>
    <col min="9708" max="9708" width="1.15234375" style="58" customWidth="1"/>
    <col min="9709" max="9709" width="8.15234375" style="58" customWidth="1"/>
    <col min="9710" max="9710" width="8.84375" style="58" customWidth="1"/>
    <col min="9711" max="9711" width="24.53515625" style="58" customWidth="1"/>
    <col min="9712" max="9712" width="22.4609375" style="58" customWidth="1"/>
    <col min="9713" max="9713" width="9.84375" style="58" customWidth="1"/>
    <col min="9714" max="9714" width="8.4609375" style="58" bestFit="1" customWidth="1"/>
    <col min="9715" max="9715" width="16.84375" style="58" customWidth="1"/>
    <col min="9716" max="9743" width="12" style="58" customWidth="1"/>
    <col min="9744" max="9963" width="9.15234375" style="58"/>
    <col min="9964" max="9964" width="1.15234375" style="58" customWidth="1"/>
    <col min="9965" max="9965" width="8.15234375" style="58" customWidth="1"/>
    <col min="9966" max="9966" width="8.84375" style="58" customWidth="1"/>
    <col min="9967" max="9967" width="24.53515625" style="58" customWidth="1"/>
    <col min="9968" max="9968" width="22.4609375" style="58" customWidth="1"/>
    <col min="9969" max="9969" width="9.84375" style="58" customWidth="1"/>
    <col min="9970" max="9970" width="8.4609375" style="58" bestFit="1" customWidth="1"/>
    <col min="9971" max="9971" width="16.84375" style="58" customWidth="1"/>
    <col min="9972" max="9999" width="12" style="58" customWidth="1"/>
    <col min="10000" max="10219" width="9.15234375" style="58"/>
    <col min="10220" max="10220" width="1.15234375" style="58" customWidth="1"/>
    <col min="10221" max="10221" width="8.15234375" style="58" customWidth="1"/>
    <col min="10222" max="10222" width="8.84375" style="58" customWidth="1"/>
    <col min="10223" max="10223" width="24.53515625" style="58" customWidth="1"/>
    <col min="10224" max="10224" width="22.4609375" style="58" customWidth="1"/>
    <col min="10225" max="10225" width="9.84375" style="58" customWidth="1"/>
    <col min="10226" max="10226" width="8.4609375" style="58" bestFit="1" customWidth="1"/>
    <col min="10227" max="10227" width="16.84375" style="58" customWidth="1"/>
    <col min="10228" max="10255" width="12" style="58" customWidth="1"/>
    <col min="10256" max="10475" width="9.15234375" style="58"/>
    <col min="10476" max="10476" width="1.15234375" style="58" customWidth="1"/>
    <col min="10477" max="10477" width="8.15234375" style="58" customWidth="1"/>
    <col min="10478" max="10478" width="8.84375" style="58" customWidth="1"/>
    <col min="10479" max="10479" width="24.53515625" style="58" customWidth="1"/>
    <col min="10480" max="10480" width="22.4609375" style="58" customWidth="1"/>
    <col min="10481" max="10481" width="9.84375" style="58" customWidth="1"/>
    <col min="10482" max="10482" width="8.4609375" style="58" bestFit="1" customWidth="1"/>
    <col min="10483" max="10483" width="16.84375" style="58" customWidth="1"/>
    <col min="10484" max="10511" width="12" style="58" customWidth="1"/>
    <col min="10512" max="10731" width="9.15234375" style="58"/>
    <col min="10732" max="10732" width="1.15234375" style="58" customWidth="1"/>
    <col min="10733" max="10733" width="8.15234375" style="58" customWidth="1"/>
    <col min="10734" max="10734" width="8.84375" style="58" customWidth="1"/>
    <col min="10735" max="10735" width="24.53515625" style="58" customWidth="1"/>
    <col min="10736" max="10736" width="22.4609375" style="58" customWidth="1"/>
    <col min="10737" max="10737" width="9.84375" style="58" customWidth="1"/>
    <col min="10738" max="10738" width="8.4609375" style="58" bestFit="1" customWidth="1"/>
    <col min="10739" max="10739" width="16.84375" style="58" customWidth="1"/>
    <col min="10740" max="10767" width="12" style="58" customWidth="1"/>
    <col min="10768" max="10987" width="9.15234375" style="58"/>
    <col min="10988" max="10988" width="1.15234375" style="58" customWidth="1"/>
    <col min="10989" max="10989" width="8.15234375" style="58" customWidth="1"/>
    <col min="10990" max="10990" width="8.84375" style="58" customWidth="1"/>
    <col min="10991" max="10991" width="24.53515625" style="58" customWidth="1"/>
    <col min="10992" max="10992" width="22.4609375" style="58" customWidth="1"/>
    <col min="10993" max="10993" width="9.84375" style="58" customWidth="1"/>
    <col min="10994" max="10994" width="8.4609375" style="58" bestFit="1" customWidth="1"/>
    <col min="10995" max="10995" width="16.84375" style="58" customWidth="1"/>
    <col min="10996" max="11023" width="12" style="58" customWidth="1"/>
    <col min="11024" max="11243" width="9.15234375" style="58"/>
    <col min="11244" max="11244" width="1.15234375" style="58" customWidth="1"/>
    <col min="11245" max="11245" width="8.15234375" style="58" customWidth="1"/>
    <col min="11246" max="11246" width="8.84375" style="58" customWidth="1"/>
    <col min="11247" max="11247" width="24.53515625" style="58" customWidth="1"/>
    <col min="11248" max="11248" width="22.4609375" style="58" customWidth="1"/>
    <col min="11249" max="11249" width="9.84375" style="58" customWidth="1"/>
    <col min="11250" max="11250" width="8.4609375" style="58" bestFit="1" customWidth="1"/>
    <col min="11251" max="11251" width="16.84375" style="58" customWidth="1"/>
    <col min="11252" max="11279" width="12" style="58" customWidth="1"/>
    <col min="11280" max="11499" width="9.15234375" style="58"/>
    <col min="11500" max="11500" width="1.15234375" style="58" customWidth="1"/>
    <col min="11501" max="11501" width="8.15234375" style="58" customWidth="1"/>
    <col min="11502" max="11502" width="8.84375" style="58" customWidth="1"/>
    <col min="11503" max="11503" width="24.53515625" style="58" customWidth="1"/>
    <col min="11504" max="11504" width="22.4609375" style="58" customWidth="1"/>
    <col min="11505" max="11505" width="9.84375" style="58" customWidth="1"/>
    <col min="11506" max="11506" width="8.4609375" style="58" bestFit="1" customWidth="1"/>
    <col min="11507" max="11507" width="16.84375" style="58" customWidth="1"/>
    <col min="11508" max="11535" width="12" style="58" customWidth="1"/>
    <col min="11536" max="11755" width="9.15234375" style="58"/>
    <col min="11756" max="11756" width="1.15234375" style="58" customWidth="1"/>
    <col min="11757" max="11757" width="8.15234375" style="58" customWidth="1"/>
    <col min="11758" max="11758" width="8.84375" style="58" customWidth="1"/>
    <col min="11759" max="11759" width="24.53515625" style="58" customWidth="1"/>
    <col min="11760" max="11760" width="22.4609375" style="58" customWidth="1"/>
    <col min="11761" max="11761" width="9.84375" style="58" customWidth="1"/>
    <col min="11762" max="11762" width="8.4609375" style="58" bestFit="1" customWidth="1"/>
    <col min="11763" max="11763" width="16.84375" style="58" customWidth="1"/>
    <col min="11764" max="11791" width="12" style="58" customWidth="1"/>
    <col min="11792" max="12011" width="9.15234375" style="58"/>
    <col min="12012" max="12012" width="1.15234375" style="58" customWidth="1"/>
    <col min="12013" max="12013" width="8.15234375" style="58" customWidth="1"/>
    <col min="12014" max="12014" width="8.84375" style="58" customWidth="1"/>
    <col min="12015" max="12015" width="24.53515625" style="58" customWidth="1"/>
    <col min="12016" max="12016" width="22.4609375" style="58" customWidth="1"/>
    <col min="12017" max="12017" width="9.84375" style="58" customWidth="1"/>
    <col min="12018" max="12018" width="8.4609375" style="58" bestFit="1" customWidth="1"/>
    <col min="12019" max="12019" width="16.84375" style="58" customWidth="1"/>
    <col min="12020" max="12047" width="12" style="58" customWidth="1"/>
    <col min="12048" max="12267" width="9.15234375" style="58"/>
    <col min="12268" max="12268" width="1.15234375" style="58" customWidth="1"/>
    <col min="12269" max="12269" width="8.15234375" style="58" customWidth="1"/>
    <col min="12270" max="12270" width="8.84375" style="58" customWidth="1"/>
    <col min="12271" max="12271" width="24.53515625" style="58" customWidth="1"/>
    <col min="12272" max="12272" width="22.4609375" style="58" customWidth="1"/>
    <col min="12273" max="12273" width="9.84375" style="58" customWidth="1"/>
    <col min="12274" max="12274" width="8.4609375" style="58" bestFit="1" customWidth="1"/>
    <col min="12275" max="12275" width="16.84375" style="58" customWidth="1"/>
    <col min="12276" max="12303" width="12" style="58" customWidth="1"/>
    <col min="12304" max="12523" width="9.15234375" style="58"/>
    <col min="12524" max="12524" width="1.15234375" style="58" customWidth="1"/>
    <col min="12525" max="12525" width="8.15234375" style="58" customWidth="1"/>
    <col min="12526" max="12526" width="8.84375" style="58" customWidth="1"/>
    <col min="12527" max="12527" width="24.53515625" style="58" customWidth="1"/>
    <col min="12528" max="12528" width="22.4609375" style="58" customWidth="1"/>
    <col min="12529" max="12529" width="9.84375" style="58" customWidth="1"/>
    <col min="12530" max="12530" width="8.4609375" style="58" bestFit="1" customWidth="1"/>
    <col min="12531" max="12531" width="16.84375" style="58" customWidth="1"/>
    <col min="12532" max="12559" width="12" style="58" customWidth="1"/>
    <col min="12560" max="12779" width="9.15234375" style="58"/>
    <col min="12780" max="12780" width="1.15234375" style="58" customWidth="1"/>
    <col min="12781" max="12781" width="8.15234375" style="58" customWidth="1"/>
    <col min="12782" max="12782" width="8.84375" style="58" customWidth="1"/>
    <col min="12783" max="12783" width="24.53515625" style="58" customWidth="1"/>
    <col min="12784" max="12784" width="22.4609375" style="58" customWidth="1"/>
    <col min="12785" max="12785" width="9.84375" style="58" customWidth="1"/>
    <col min="12786" max="12786" width="8.4609375" style="58" bestFit="1" customWidth="1"/>
    <col min="12787" max="12787" width="16.84375" style="58" customWidth="1"/>
    <col min="12788" max="12815" width="12" style="58" customWidth="1"/>
    <col min="12816" max="13035" width="9.15234375" style="58"/>
    <col min="13036" max="13036" width="1.15234375" style="58" customWidth="1"/>
    <col min="13037" max="13037" width="8.15234375" style="58" customWidth="1"/>
    <col min="13038" max="13038" width="8.84375" style="58" customWidth="1"/>
    <col min="13039" max="13039" width="24.53515625" style="58" customWidth="1"/>
    <col min="13040" max="13040" width="22.4609375" style="58" customWidth="1"/>
    <col min="13041" max="13041" width="9.84375" style="58" customWidth="1"/>
    <col min="13042" max="13042" width="8.4609375" style="58" bestFit="1" customWidth="1"/>
    <col min="13043" max="13043" width="16.84375" style="58" customWidth="1"/>
    <col min="13044" max="13071" width="12" style="58" customWidth="1"/>
    <col min="13072" max="13291" width="9.15234375" style="58"/>
    <col min="13292" max="13292" width="1.15234375" style="58" customWidth="1"/>
    <col min="13293" max="13293" width="8.15234375" style="58" customWidth="1"/>
    <col min="13294" max="13294" width="8.84375" style="58" customWidth="1"/>
    <col min="13295" max="13295" width="24.53515625" style="58" customWidth="1"/>
    <col min="13296" max="13296" width="22.4609375" style="58" customWidth="1"/>
    <col min="13297" max="13297" width="9.84375" style="58" customWidth="1"/>
    <col min="13298" max="13298" width="8.4609375" style="58" bestFit="1" customWidth="1"/>
    <col min="13299" max="13299" width="16.84375" style="58" customWidth="1"/>
    <col min="13300" max="13327" width="12" style="58" customWidth="1"/>
    <col min="13328" max="13547" width="9.15234375" style="58"/>
    <col min="13548" max="13548" width="1.15234375" style="58" customWidth="1"/>
    <col min="13549" max="13549" width="8.15234375" style="58" customWidth="1"/>
    <col min="13550" max="13550" width="8.84375" style="58" customWidth="1"/>
    <col min="13551" max="13551" width="24.53515625" style="58" customWidth="1"/>
    <col min="13552" max="13552" width="22.4609375" style="58" customWidth="1"/>
    <col min="13553" max="13553" width="9.84375" style="58" customWidth="1"/>
    <col min="13554" max="13554" width="8.4609375" style="58" bestFit="1" customWidth="1"/>
    <col min="13555" max="13555" width="16.84375" style="58" customWidth="1"/>
    <col min="13556" max="13583" width="12" style="58" customWidth="1"/>
    <col min="13584" max="13803" width="9.15234375" style="58"/>
    <col min="13804" max="13804" width="1.15234375" style="58" customWidth="1"/>
    <col min="13805" max="13805" width="8.15234375" style="58" customWidth="1"/>
    <col min="13806" max="13806" width="8.84375" style="58" customWidth="1"/>
    <col min="13807" max="13807" width="24.53515625" style="58" customWidth="1"/>
    <col min="13808" max="13808" width="22.4609375" style="58" customWidth="1"/>
    <col min="13809" max="13809" width="9.84375" style="58" customWidth="1"/>
    <col min="13810" max="13810" width="8.4609375" style="58" bestFit="1" customWidth="1"/>
    <col min="13811" max="13811" width="16.84375" style="58" customWidth="1"/>
    <col min="13812" max="13839" width="12" style="58" customWidth="1"/>
    <col min="13840" max="14059" width="9.15234375" style="58"/>
    <col min="14060" max="14060" width="1.15234375" style="58" customWidth="1"/>
    <col min="14061" max="14061" width="8.15234375" style="58" customWidth="1"/>
    <col min="14062" max="14062" width="8.84375" style="58" customWidth="1"/>
    <col min="14063" max="14063" width="24.53515625" style="58" customWidth="1"/>
    <col min="14064" max="14064" width="22.4609375" style="58" customWidth="1"/>
    <col min="14065" max="14065" width="9.84375" style="58" customWidth="1"/>
    <col min="14066" max="14066" width="8.4609375" style="58" bestFit="1" customWidth="1"/>
    <col min="14067" max="14067" width="16.84375" style="58" customWidth="1"/>
    <col min="14068" max="14095" width="12" style="58" customWidth="1"/>
    <col min="14096" max="14315" width="9.15234375" style="58"/>
    <col min="14316" max="14316" width="1.15234375" style="58" customWidth="1"/>
    <col min="14317" max="14317" width="8.15234375" style="58" customWidth="1"/>
    <col min="14318" max="14318" width="8.84375" style="58" customWidth="1"/>
    <col min="14319" max="14319" width="24.53515625" style="58" customWidth="1"/>
    <col min="14320" max="14320" width="22.4609375" style="58" customWidth="1"/>
    <col min="14321" max="14321" width="9.84375" style="58" customWidth="1"/>
    <col min="14322" max="14322" width="8.4609375" style="58" bestFit="1" customWidth="1"/>
    <col min="14323" max="14323" width="16.84375" style="58" customWidth="1"/>
    <col min="14324" max="14351" width="12" style="58" customWidth="1"/>
    <col min="14352" max="14571" width="9.15234375" style="58"/>
    <col min="14572" max="14572" width="1.15234375" style="58" customWidth="1"/>
    <col min="14573" max="14573" width="8.15234375" style="58" customWidth="1"/>
    <col min="14574" max="14574" width="8.84375" style="58" customWidth="1"/>
    <col min="14575" max="14575" width="24.53515625" style="58" customWidth="1"/>
    <col min="14576" max="14576" width="22.4609375" style="58" customWidth="1"/>
    <col min="14577" max="14577" width="9.84375" style="58" customWidth="1"/>
    <col min="14578" max="14578" width="8.4609375" style="58" bestFit="1" customWidth="1"/>
    <col min="14579" max="14579" width="16.84375" style="58" customWidth="1"/>
    <col min="14580" max="14607" width="12" style="58" customWidth="1"/>
    <col min="14608" max="14827" width="9.15234375" style="58"/>
    <col min="14828" max="14828" width="1.15234375" style="58" customWidth="1"/>
    <col min="14829" max="14829" width="8.15234375" style="58" customWidth="1"/>
    <col min="14830" max="14830" width="8.84375" style="58" customWidth="1"/>
    <col min="14831" max="14831" width="24.53515625" style="58" customWidth="1"/>
    <col min="14832" max="14832" width="22.4609375" style="58" customWidth="1"/>
    <col min="14833" max="14833" width="9.84375" style="58" customWidth="1"/>
    <col min="14834" max="14834" width="8.4609375" style="58" bestFit="1" customWidth="1"/>
    <col min="14835" max="14835" width="16.84375" style="58" customWidth="1"/>
    <col min="14836" max="14863" width="12" style="58" customWidth="1"/>
    <col min="14864" max="15083" width="9.15234375" style="58"/>
    <col min="15084" max="15084" width="1.15234375" style="58" customWidth="1"/>
    <col min="15085" max="15085" width="8.15234375" style="58" customWidth="1"/>
    <col min="15086" max="15086" width="8.84375" style="58" customWidth="1"/>
    <col min="15087" max="15087" width="24.53515625" style="58" customWidth="1"/>
    <col min="15088" max="15088" width="22.4609375" style="58" customWidth="1"/>
    <col min="15089" max="15089" width="9.84375" style="58" customWidth="1"/>
    <col min="15090" max="15090" width="8.4609375" style="58" bestFit="1" customWidth="1"/>
    <col min="15091" max="15091" width="16.84375" style="58" customWidth="1"/>
    <col min="15092" max="15119" width="12" style="58" customWidth="1"/>
    <col min="15120" max="15339" width="9.15234375" style="58"/>
    <col min="15340" max="15340" width="1.15234375" style="58" customWidth="1"/>
    <col min="15341" max="15341" width="8.15234375" style="58" customWidth="1"/>
    <col min="15342" max="15342" width="8.84375" style="58" customWidth="1"/>
    <col min="15343" max="15343" width="24.53515625" style="58" customWidth="1"/>
    <col min="15344" max="15344" width="22.4609375" style="58" customWidth="1"/>
    <col min="15345" max="15345" width="9.84375" style="58" customWidth="1"/>
    <col min="15346" max="15346" width="8.4609375" style="58" bestFit="1" customWidth="1"/>
    <col min="15347" max="15347" width="16.84375" style="58" customWidth="1"/>
    <col min="15348" max="15375" width="12" style="58" customWidth="1"/>
    <col min="15376" max="15595" width="9.15234375" style="58"/>
    <col min="15596" max="15596" width="1.15234375" style="58" customWidth="1"/>
    <col min="15597" max="15597" width="8.15234375" style="58" customWidth="1"/>
    <col min="15598" max="15598" width="8.84375" style="58" customWidth="1"/>
    <col min="15599" max="15599" width="24.53515625" style="58" customWidth="1"/>
    <col min="15600" max="15600" width="22.4609375" style="58" customWidth="1"/>
    <col min="15601" max="15601" width="9.84375" style="58" customWidth="1"/>
    <col min="15602" max="15602" width="8.4609375" style="58" bestFit="1" customWidth="1"/>
    <col min="15603" max="15603" width="16.84375" style="58" customWidth="1"/>
    <col min="15604" max="15631" width="12" style="58" customWidth="1"/>
    <col min="15632" max="15851" width="9.15234375" style="58"/>
    <col min="15852" max="15852" width="1.15234375" style="58" customWidth="1"/>
    <col min="15853" max="15853" width="8.15234375" style="58" customWidth="1"/>
    <col min="15854" max="15854" width="8.84375" style="58" customWidth="1"/>
    <col min="15855" max="15855" width="24.53515625" style="58" customWidth="1"/>
    <col min="15856" max="15856" width="22.4609375" style="58" customWidth="1"/>
    <col min="15857" max="15857" width="9.84375" style="58" customWidth="1"/>
    <col min="15858" max="15858" width="8.4609375" style="58" bestFit="1" customWidth="1"/>
    <col min="15859" max="15859" width="16.84375" style="58" customWidth="1"/>
    <col min="15860" max="15887" width="12" style="58" customWidth="1"/>
    <col min="15888" max="16107" width="9.15234375" style="58"/>
    <col min="16108" max="16108" width="1.15234375" style="58" customWidth="1"/>
    <col min="16109" max="16109" width="8.15234375" style="58" customWidth="1"/>
    <col min="16110" max="16110" width="8.84375" style="58" customWidth="1"/>
    <col min="16111" max="16111" width="24.53515625" style="58" customWidth="1"/>
    <col min="16112" max="16112" width="22.4609375" style="58" customWidth="1"/>
    <col min="16113" max="16113" width="9.84375" style="58" customWidth="1"/>
    <col min="16114" max="16114" width="8.4609375" style="58" bestFit="1" customWidth="1"/>
    <col min="16115" max="16115" width="16.84375" style="58" customWidth="1"/>
    <col min="16116" max="16143" width="12" style="58" customWidth="1"/>
    <col min="16144" max="16384" width="9.15234375" style="58"/>
  </cols>
  <sheetData>
    <row r="1" spans="2:5" ht="14.5" thickBot="1" x14ac:dyDescent="0.4"/>
    <row r="2" spans="2:5" ht="14.5" thickBot="1" x14ac:dyDescent="0.4">
      <c r="B2" s="1243" t="s">
        <v>59</v>
      </c>
    </row>
    <row r="3" spans="2:5" ht="35.15" customHeight="1" x14ac:dyDescent="0.35">
      <c r="B3" s="589"/>
      <c r="C3"/>
      <c r="D3"/>
      <c r="E3"/>
    </row>
    <row r="4" spans="2:5" ht="15.5" x14ac:dyDescent="0.35">
      <c r="B4" s="590"/>
      <c r="C4"/>
      <c r="D4"/>
      <c r="E4"/>
    </row>
    <row r="5" spans="2:5" customFormat="1" ht="15.5" x14ac:dyDescent="0.35"/>
    <row r="6" spans="2:5" customFormat="1" ht="15.5" x14ac:dyDescent="0.35">
      <c r="B6" s="589"/>
    </row>
    <row r="7" spans="2:5" customFormat="1" ht="15.5" x14ac:dyDescent="0.35">
      <c r="B7" s="590"/>
    </row>
    <row r="8" spans="2:5" customFormat="1" ht="15.5" x14ac:dyDescent="0.35">
      <c r="B8" s="590"/>
    </row>
    <row r="9" spans="2:5" customFormat="1" ht="15.5" x14ac:dyDescent="0.35">
      <c r="B9" s="590"/>
    </row>
    <row r="10" spans="2:5" customFormat="1" ht="15.5" x14ac:dyDescent="0.35">
      <c r="B10" s="590"/>
    </row>
    <row r="11" spans="2:5" customFormat="1" ht="15.5" x14ac:dyDescent="0.35">
      <c r="B11" s="590"/>
    </row>
    <row r="12" spans="2:5" customFormat="1" ht="16" thickBot="1" x14ac:dyDescent="0.4">
      <c r="B12" s="590"/>
    </row>
    <row r="13" spans="2:5" customFormat="1" ht="15.5" x14ac:dyDescent="0.35">
      <c r="B13" s="892" t="s">
        <v>60</v>
      </c>
      <c r="C13" s="584" t="s">
        <v>15</v>
      </c>
      <c r="D13" s="892" t="s">
        <v>2</v>
      </c>
      <c r="E13" s="585">
        <v>3</v>
      </c>
    </row>
    <row r="14" spans="2:5" customFormat="1" ht="16" thickBot="1" x14ac:dyDescent="0.4">
      <c r="B14" s="586" t="s">
        <v>213</v>
      </c>
      <c r="C14" s="587" t="str">
        <f ca="1">MID(CELL("filename",A12),FIND("]",CELL("filename",A12))+1,255)</f>
        <v>CAMCAM</v>
      </c>
      <c r="D14" s="588" t="s">
        <v>214</v>
      </c>
      <c r="E14" s="587" t="s">
        <v>215</v>
      </c>
    </row>
    <row r="15" spans="2:5" customFormat="1" ht="15.5" x14ac:dyDescent="0.35">
      <c r="B15" s="590"/>
    </row>
    <row r="16" spans="2:5" customFormat="1" ht="15.5" x14ac:dyDescent="0.35">
      <c r="B16" s="590"/>
    </row>
    <row r="17" spans="1:89" customFormat="1" ht="15.5" x14ac:dyDescent="0.35">
      <c r="B17" s="590"/>
    </row>
    <row r="18" spans="1:89" customFormat="1" ht="15.5" x14ac:dyDescent="0.35">
      <c r="B18" s="590"/>
    </row>
    <row r="19" spans="1:89" customFormat="1" ht="15.5" x14ac:dyDescent="0.35">
      <c r="B19" s="590"/>
    </row>
    <row r="20" spans="1:89" customFormat="1" ht="15.5" x14ac:dyDescent="0.35">
      <c r="B20" s="590"/>
    </row>
    <row r="21" spans="1:89" ht="14.5" thickBot="1" x14ac:dyDescent="0.4"/>
    <row r="22" spans="1:89" ht="14.5" thickBot="1" x14ac:dyDescent="0.4">
      <c r="B22" s="591" t="s">
        <v>216</v>
      </c>
      <c r="C22" s="592"/>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593"/>
      <c r="AL22" s="593"/>
      <c r="AM22" s="593"/>
      <c r="AN22" s="593"/>
      <c r="AO22" s="593"/>
      <c r="AP22" s="593"/>
      <c r="AQ22" s="593"/>
      <c r="AR22" s="593"/>
      <c r="AS22" s="593"/>
      <c r="AT22" s="593"/>
      <c r="AU22" s="593"/>
      <c r="AV22" s="593"/>
      <c r="AW22" s="593"/>
      <c r="AX22" s="593"/>
      <c r="AY22" s="593"/>
      <c r="AZ22" s="593"/>
      <c r="BA22" s="593"/>
      <c r="BB22" s="593"/>
      <c r="BC22" s="593"/>
      <c r="BD22" s="593"/>
      <c r="BE22" s="593"/>
      <c r="BF22" s="593"/>
      <c r="BG22" s="593"/>
      <c r="BH22" s="593"/>
      <c r="BI22" s="593"/>
      <c r="BJ22" s="593"/>
      <c r="BK22" s="593"/>
      <c r="BL22" s="593"/>
      <c r="BM22" s="593"/>
      <c r="BN22" s="593"/>
      <c r="BO22" s="593"/>
      <c r="BP22" s="593"/>
      <c r="BQ22" s="593"/>
      <c r="BR22" s="593"/>
      <c r="BS22" s="593"/>
      <c r="BT22" s="593"/>
      <c r="BU22" s="593"/>
      <c r="BV22" s="593"/>
      <c r="BW22" s="593"/>
      <c r="BX22" s="593"/>
      <c r="BY22" s="593"/>
      <c r="BZ22" s="593"/>
      <c r="CA22" s="593"/>
      <c r="CB22" s="593"/>
      <c r="CC22" s="593"/>
      <c r="CD22" s="593"/>
      <c r="CE22" s="593"/>
      <c r="CF22" s="593"/>
      <c r="CG22" s="593"/>
      <c r="CH22" s="593"/>
      <c r="CI22" s="593"/>
      <c r="CJ22" s="593"/>
    </row>
    <row r="23" spans="1:89" ht="28.5" customHeight="1" thickBot="1" x14ac:dyDescent="0.4">
      <c r="B23" s="594" t="s">
        <v>217</v>
      </c>
      <c r="C23" s="595" t="s">
        <v>218</v>
      </c>
      <c r="D23" s="595" t="s">
        <v>66</v>
      </c>
      <c r="E23" s="595" t="s">
        <v>219</v>
      </c>
      <c r="F23" s="596" t="s">
        <v>220</v>
      </c>
      <c r="G23" s="594" t="s">
        <v>221</v>
      </c>
      <c r="H23" s="594" t="s">
        <v>222</v>
      </c>
      <c r="I23" s="594" t="s">
        <v>223</v>
      </c>
      <c r="J23" s="594" t="s">
        <v>224</v>
      </c>
      <c r="K23" s="594" t="s">
        <v>225</v>
      </c>
      <c r="L23" s="594" t="s">
        <v>226</v>
      </c>
      <c r="M23" s="595" t="s">
        <v>227</v>
      </c>
      <c r="N23" s="595" t="s">
        <v>228</v>
      </c>
      <c r="O23" s="595" t="s">
        <v>229</v>
      </c>
      <c r="P23" s="595" t="s">
        <v>230</v>
      </c>
      <c r="Q23" s="595" t="s">
        <v>231</v>
      </c>
      <c r="R23" s="595" t="s">
        <v>232</v>
      </c>
      <c r="S23" s="595" t="s">
        <v>233</v>
      </c>
      <c r="T23" s="595" t="s">
        <v>234</v>
      </c>
      <c r="U23" s="595" t="s">
        <v>235</v>
      </c>
      <c r="V23" s="595" t="s">
        <v>236</v>
      </c>
      <c r="W23" s="595" t="s">
        <v>237</v>
      </c>
      <c r="X23" s="595" t="s">
        <v>238</v>
      </c>
      <c r="Y23" s="595" t="s">
        <v>239</v>
      </c>
      <c r="Z23" s="595" t="s">
        <v>240</v>
      </c>
      <c r="AA23" s="595" t="s">
        <v>241</v>
      </c>
      <c r="AB23" s="595" t="s">
        <v>242</v>
      </c>
      <c r="AC23" s="595" t="s">
        <v>243</v>
      </c>
      <c r="AD23" s="595" t="s">
        <v>244</v>
      </c>
      <c r="AE23" s="595" t="s">
        <v>245</v>
      </c>
      <c r="AF23" s="595" t="s">
        <v>246</v>
      </c>
      <c r="AG23" s="595" t="s">
        <v>247</v>
      </c>
      <c r="AH23" s="595" t="s">
        <v>248</v>
      </c>
      <c r="AI23" s="595" t="s">
        <v>249</v>
      </c>
      <c r="AJ23" s="595" t="s">
        <v>250</v>
      </c>
      <c r="AK23" s="595" t="s">
        <v>251</v>
      </c>
      <c r="AL23" s="595" t="s">
        <v>252</v>
      </c>
      <c r="AM23" s="595" t="s">
        <v>253</v>
      </c>
      <c r="AN23" s="595" t="s">
        <v>254</v>
      </c>
      <c r="AO23" s="595" t="s">
        <v>255</v>
      </c>
      <c r="AP23" s="595" t="s">
        <v>256</v>
      </c>
      <c r="AQ23" s="595" t="s">
        <v>257</v>
      </c>
      <c r="AR23" s="595" t="s">
        <v>258</v>
      </c>
      <c r="AS23" s="595" t="s">
        <v>259</v>
      </c>
      <c r="AT23" s="595" t="s">
        <v>260</v>
      </c>
      <c r="AU23" s="595" t="s">
        <v>261</v>
      </c>
      <c r="AV23" s="595" t="s">
        <v>262</v>
      </c>
      <c r="AW23" s="595" t="s">
        <v>263</v>
      </c>
      <c r="AX23" s="595" t="s">
        <v>264</v>
      </c>
      <c r="AY23" s="595" t="s">
        <v>265</v>
      </c>
      <c r="AZ23" s="595" t="s">
        <v>266</v>
      </c>
      <c r="BA23" s="595" t="s">
        <v>267</v>
      </c>
      <c r="BB23" s="595" t="s">
        <v>268</v>
      </c>
      <c r="BC23" s="595" t="s">
        <v>269</v>
      </c>
      <c r="BD23" s="595" t="s">
        <v>270</v>
      </c>
      <c r="BE23" s="595" t="s">
        <v>271</v>
      </c>
      <c r="BF23" s="595" t="s">
        <v>272</v>
      </c>
      <c r="BG23" s="595" t="s">
        <v>273</v>
      </c>
      <c r="BH23" s="595" t="s">
        <v>274</v>
      </c>
      <c r="BI23" s="595" t="s">
        <v>275</v>
      </c>
      <c r="BJ23" s="595" t="s">
        <v>276</v>
      </c>
      <c r="BK23" s="595" t="s">
        <v>277</v>
      </c>
      <c r="BL23" s="595" t="s">
        <v>278</v>
      </c>
      <c r="BM23" s="595" t="s">
        <v>279</v>
      </c>
      <c r="BN23" s="595" t="s">
        <v>280</v>
      </c>
      <c r="BO23" s="595" t="s">
        <v>281</v>
      </c>
      <c r="BP23" s="595" t="s">
        <v>282</v>
      </c>
      <c r="BQ23" s="595" t="s">
        <v>283</v>
      </c>
      <c r="BR23" s="595" t="s">
        <v>284</v>
      </c>
      <c r="BS23" s="595" t="s">
        <v>285</v>
      </c>
      <c r="BT23" s="595" t="s">
        <v>286</v>
      </c>
      <c r="BU23" s="595" t="s">
        <v>287</v>
      </c>
      <c r="BV23" s="595" t="s">
        <v>288</v>
      </c>
      <c r="BW23" s="595" t="s">
        <v>289</v>
      </c>
      <c r="BX23" s="595" t="s">
        <v>290</v>
      </c>
      <c r="BY23" s="595" t="s">
        <v>291</v>
      </c>
      <c r="BZ23" s="595" t="s">
        <v>292</v>
      </c>
      <c r="CA23" s="595" t="s">
        <v>293</v>
      </c>
      <c r="CB23" s="595" t="s">
        <v>294</v>
      </c>
      <c r="CC23" s="595" t="s">
        <v>295</v>
      </c>
      <c r="CD23" s="595" t="s">
        <v>296</v>
      </c>
      <c r="CE23" s="595" t="s">
        <v>297</v>
      </c>
      <c r="CF23" s="595" t="s">
        <v>298</v>
      </c>
      <c r="CG23" s="595" t="s">
        <v>299</v>
      </c>
      <c r="CH23" s="595" t="s">
        <v>300</v>
      </c>
      <c r="CI23" s="596" t="s">
        <v>301</v>
      </c>
      <c r="CJ23" s="595" t="s">
        <v>302</v>
      </c>
    </row>
    <row r="24" spans="1:89" s="64" customFormat="1" x14ac:dyDescent="0.35">
      <c r="A24" s="58"/>
      <c r="B24" s="1112" t="s">
        <v>303</v>
      </c>
      <c r="C24" s="1113" t="s">
        <v>304</v>
      </c>
      <c r="D24" s="1114" t="s">
        <v>82</v>
      </c>
      <c r="E24" s="1115" t="s">
        <v>305</v>
      </c>
      <c r="F24" s="1116">
        <v>2</v>
      </c>
      <c r="G24" s="602">
        <f>G85+G27-G29+G39</f>
        <v>88.824627710000001</v>
      </c>
      <c r="H24" s="602">
        <f t="shared" ref="H24:BS24" si="0">H85+H27-H29+H39</f>
        <v>86.428187400000013</v>
      </c>
      <c r="I24" s="602">
        <f t="shared" si="0"/>
        <v>86.119863060000014</v>
      </c>
      <c r="J24" s="602">
        <f t="shared" si="0"/>
        <v>86.039520670000002</v>
      </c>
      <c r="K24" s="602">
        <f t="shared" si="0"/>
        <v>86.150098790000015</v>
      </c>
      <c r="L24" s="602">
        <f t="shared" si="0"/>
        <v>87.609777060000013</v>
      </c>
      <c r="M24" s="603">
        <f t="shared" si="0"/>
        <v>88.868121169999995</v>
      </c>
      <c r="N24" s="603">
        <f t="shared" si="0"/>
        <v>90.291262250000003</v>
      </c>
      <c r="O24" s="603">
        <f t="shared" si="0"/>
        <v>91.689627450000003</v>
      </c>
      <c r="P24" s="603">
        <f t="shared" si="0"/>
        <v>92.943526390000017</v>
      </c>
      <c r="Q24" s="603">
        <f t="shared" si="0"/>
        <v>94.044895900000014</v>
      </c>
      <c r="R24" s="603">
        <f t="shared" si="0"/>
        <v>95.020420389999998</v>
      </c>
      <c r="S24" s="603">
        <f t="shared" si="0"/>
        <v>95.838310879999995</v>
      </c>
      <c r="T24" s="603">
        <f t="shared" si="0"/>
        <v>96.630843310000003</v>
      </c>
      <c r="U24" s="603">
        <f t="shared" si="0"/>
        <v>97.483071910000007</v>
      </c>
      <c r="V24" s="603">
        <f t="shared" si="0"/>
        <v>98.230270020000006</v>
      </c>
      <c r="W24" s="603">
        <f t="shared" si="0"/>
        <v>98.961555880000006</v>
      </c>
      <c r="X24" s="603">
        <f t="shared" si="0"/>
        <v>99.673767390000009</v>
      </c>
      <c r="Y24" s="603">
        <f t="shared" si="0"/>
        <v>100.37911624</v>
      </c>
      <c r="Z24" s="603">
        <f t="shared" si="0"/>
        <v>101.02544556000001</v>
      </c>
      <c r="AA24" s="603">
        <f t="shared" si="0"/>
        <v>101.320638777</v>
      </c>
      <c r="AB24" s="603">
        <f t="shared" si="0"/>
        <v>101.60695522100001</v>
      </c>
      <c r="AC24" s="603">
        <f t="shared" si="0"/>
        <v>101.88331469300002</v>
      </c>
      <c r="AD24" s="603">
        <f t="shared" si="0"/>
        <v>102.15361116299999</v>
      </c>
      <c r="AE24" s="603">
        <f t="shared" si="0"/>
        <v>102.409209957</v>
      </c>
      <c r="AF24" s="603">
        <f t="shared" si="0"/>
        <v>102.64505833500002</v>
      </c>
      <c r="AG24" s="603">
        <f t="shared" si="0"/>
        <v>102.865737342</v>
      </c>
      <c r="AH24" s="603">
        <f t="shared" si="0"/>
        <v>103.07883023800001</v>
      </c>
      <c r="AI24" s="603">
        <f t="shared" si="0"/>
        <v>103.280325772</v>
      </c>
      <c r="AJ24" s="603">
        <f t="shared" si="0"/>
        <v>103.465574034</v>
      </c>
      <c r="AK24" s="603">
        <f t="shared" si="0"/>
        <v>103.583348387</v>
      </c>
      <c r="AL24" s="603">
        <f t="shared" si="0"/>
        <v>103.69780364500002</v>
      </c>
      <c r="AM24" s="603">
        <f t="shared" si="0"/>
        <v>103.811738723</v>
      </c>
      <c r="AN24" s="603">
        <f t="shared" si="0"/>
        <v>103.923003255</v>
      </c>
      <c r="AO24" s="603">
        <f t="shared" si="0"/>
        <v>104.03565122500001</v>
      </c>
      <c r="AP24" s="603">
        <f t="shared" si="0"/>
        <v>104.14845836200001</v>
      </c>
      <c r="AQ24" s="603">
        <f t="shared" si="0"/>
        <v>104.26119935200001</v>
      </c>
      <c r="AR24" s="603">
        <f t="shared" si="0"/>
        <v>104.36810689000001</v>
      </c>
      <c r="AS24" s="603">
        <f t="shared" si="0"/>
        <v>104.47038352800001</v>
      </c>
      <c r="AT24" s="603">
        <f t="shared" si="0"/>
        <v>104.57279084800001</v>
      </c>
      <c r="AU24" s="603">
        <f t="shared" si="0"/>
        <v>104.67274969100001</v>
      </c>
      <c r="AV24" s="603">
        <f t="shared" si="0"/>
        <v>104.77152597700001</v>
      </c>
      <c r="AW24" s="603">
        <f t="shared" si="0"/>
        <v>104.87072916700001</v>
      </c>
      <c r="AX24" s="603">
        <f t="shared" si="0"/>
        <v>104.97000045600001</v>
      </c>
      <c r="AY24" s="603">
        <f t="shared" si="0"/>
        <v>105.07115444900001</v>
      </c>
      <c r="AZ24" s="603">
        <f t="shared" si="0"/>
        <v>105.17449645100001</v>
      </c>
      <c r="BA24" s="603">
        <f t="shared" si="0"/>
        <v>105.27978229000001</v>
      </c>
      <c r="BB24" s="603">
        <f t="shared" si="0"/>
        <v>105.38527947600001</v>
      </c>
      <c r="BC24" s="603">
        <f t="shared" si="0"/>
        <v>105.49337274500002</v>
      </c>
      <c r="BD24" s="603">
        <f t="shared" si="0"/>
        <v>105.60328376300001</v>
      </c>
      <c r="BE24" s="603">
        <f t="shared" si="0"/>
        <v>105.71540093900001</v>
      </c>
      <c r="BF24" s="603">
        <f t="shared" si="0"/>
        <v>105.831767615</v>
      </c>
      <c r="BG24" s="603">
        <f t="shared" si="0"/>
        <v>105.95187802300001</v>
      </c>
      <c r="BH24" s="603">
        <f t="shared" si="0"/>
        <v>106.07599921100001</v>
      </c>
      <c r="BI24" s="603">
        <f t="shared" si="0"/>
        <v>106.20268576100001</v>
      </c>
      <c r="BJ24" s="603">
        <f t="shared" si="0"/>
        <v>106.332449138</v>
      </c>
      <c r="BK24" s="603">
        <f t="shared" si="0"/>
        <v>106.46510620700001</v>
      </c>
      <c r="BL24" s="603">
        <f t="shared" si="0"/>
        <v>106.60159434400001</v>
      </c>
      <c r="BM24" s="603">
        <f t="shared" si="0"/>
        <v>106.74316446400002</v>
      </c>
      <c r="BN24" s="603">
        <f t="shared" si="0"/>
        <v>106.88912499600001</v>
      </c>
      <c r="BO24" s="603">
        <f t="shared" si="0"/>
        <v>107.040768813</v>
      </c>
      <c r="BP24" s="603">
        <f t="shared" si="0"/>
        <v>107.19720240400002</v>
      </c>
      <c r="BQ24" s="603">
        <f t="shared" si="0"/>
        <v>107.358406194</v>
      </c>
      <c r="BR24" s="603">
        <f t="shared" si="0"/>
        <v>107.521929466</v>
      </c>
      <c r="BS24" s="603">
        <f t="shared" si="0"/>
        <v>107.68855499</v>
      </c>
      <c r="BT24" s="603">
        <f t="shared" ref="BT24:CI24" si="1">BT85+BT27-BT29+BT39</f>
        <v>107.85789155800001</v>
      </c>
      <c r="BU24" s="603">
        <f t="shared" si="1"/>
        <v>108.030610925</v>
      </c>
      <c r="BV24" s="603">
        <f t="shared" si="1"/>
        <v>108.20411277300002</v>
      </c>
      <c r="BW24" s="603">
        <f t="shared" si="1"/>
        <v>108.37950608700001</v>
      </c>
      <c r="BX24" s="603">
        <f t="shared" si="1"/>
        <v>108.55660801100001</v>
      </c>
      <c r="BY24" s="603">
        <f t="shared" si="1"/>
        <v>108.735873998</v>
      </c>
      <c r="BZ24" s="603">
        <f t="shared" si="1"/>
        <v>108.916001792</v>
      </c>
      <c r="CA24" s="603">
        <f t="shared" si="1"/>
        <v>109.097182772</v>
      </c>
      <c r="CB24" s="603">
        <f t="shared" si="1"/>
        <v>109.27752797700001</v>
      </c>
      <c r="CC24" s="603">
        <f t="shared" si="1"/>
        <v>109.45847019200002</v>
      </c>
      <c r="CD24" s="603">
        <f t="shared" si="1"/>
        <v>109.638558628</v>
      </c>
      <c r="CE24" s="603">
        <f t="shared" si="1"/>
        <v>109.81775195500001</v>
      </c>
      <c r="CF24" s="603">
        <f t="shared" si="1"/>
        <v>109.995158567</v>
      </c>
      <c r="CG24" s="603">
        <f t="shared" si="1"/>
        <v>110.171290709</v>
      </c>
      <c r="CH24" s="603">
        <f t="shared" si="1"/>
        <v>110.26845576700001</v>
      </c>
      <c r="CI24" s="603">
        <f t="shared" si="1"/>
        <v>114.428455767</v>
      </c>
      <c r="CJ24" s="1410"/>
      <c r="CK24" s="605"/>
    </row>
    <row r="25" spans="1:89" s="64" customFormat="1" x14ac:dyDescent="0.35">
      <c r="A25" s="58"/>
      <c r="B25" s="1107" t="s">
        <v>306</v>
      </c>
      <c r="C25" s="1108" t="s">
        <v>307</v>
      </c>
      <c r="D25" s="1109" t="s">
        <v>82</v>
      </c>
      <c r="E25" s="1110" t="s">
        <v>305</v>
      </c>
      <c r="F25" s="1111">
        <v>2</v>
      </c>
      <c r="G25" s="1105"/>
      <c r="H25" s="1102"/>
      <c r="I25" s="1102"/>
      <c r="J25" s="1102"/>
      <c r="K25" s="1102"/>
      <c r="L25" s="1102"/>
      <c r="M25" s="1103"/>
      <c r="N25" s="1103"/>
      <c r="O25" s="1103"/>
      <c r="P25" s="1103"/>
      <c r="Q25" s="1103"/>
      <c r="R25" s="1103"/>
      <c r="S25" s="1103"/>
      <c r="T25" s="1103"/>
      <c r="U25" s="1103"/>
      <c r="V25" s="1103"/>
      <c r="W25" s="1103"/>
      <c r="X25" s="1103"/>
      <c r="Y25" s="1103"/>
      <c r="Z25" s="1103"/>
      <c r="AA25" s="1103"/>
      <c r="AB25" s="1103"/>
      <c r="AC25" s="1103"/>
      <c r="AD25" s="1103"/>
      <c r="AE25" s="1103"/>
      <c r="AF25" s="1103"/>
      <c r="AG25" s="1103"/>
      <c r="AH25" s="1103"/>
      <c r="AI25" s="1103"/>
      <c r="AJ25" s="1103"/>
      <c r="AK25" s="1103"/>
      <c r="AL25" s="1103"/>
      <c r="AM25" s="1103"/>
      <c r="AN25" s="1103"/>
      <c r="AO25" s="1103"/>
      <c r="AP25" s="1103"/>
      <c r="AQ25" s="1103"/>
      <c r="AR25" s="1103"/>
      <c r="AS25" s="1103"/>
      <c r="AT25" s="1103"/>
      <c r="AU25" s="1103"/>
      <c r="AV25" s="1103"/>
      <c r="AW25" s="1103"/>
      <c r="AX25" s="1103"/>
      <c r="AY25" s="1103"/>
      <c r="AZ25" s="1103"/>
      <c r="BA25" s="1103"/>
      <c r="BB25" s="1103"/>
      <c r="BC25" s="1103"/>
      <c r="BD25" s="1103"/>
      <c r="BE25" s="1103"/>
      <c r="BF25" s="1103"/>
      <c r="BG25" s="1103"/>
      <c r="BH25" s="1103"/>
      <c r="BI25" s="1103"/>
      <c r="BJ25" s="1103"/>
      <c r="BK25" s="1103"/>
      <c r="BL25" s="1103"/>
      <c r="BM25" s="1103"/>
      <c r="BN25" s="1103"/>
      <c r="BO25" s="1103"/>
      <c r="BP25" s="1103"/>
      <c r="BQ25" s="1103"/>
      <c r="BR25" s="1103"/>
      <c r="BS25" s="1103"/>
      <c r="BT25" s="1103"/>
      <c r="BU25" s="1103"/>
      <c r="BV25" s="1103"/>
      <c r="BW25" s="1103"/>
      <c r="BX25" s="1103"/>
      <c r="BY25" s="1103"/>
      <c r="BZ25" s="1103"/>
      <c r="CA25" s="1103"/>
      <c r="CB25" s="1103"/>
      <c r="CC25" s="1103"/>
      <c r="CD25" s="1103"/>
      <c r="CE25" s="1103"/>
      <c r="CF25" s="1103"/>
      <c r="CG25" s="1103"/>
      <c r="CH25" s="1103"/>
      <c r="CI25" s="1104"/>
      <c r="CJ25" s="1410"/>
      <c r="CK25" s="605"/>
    </row>
    <row r="26" spans="1:89" s="64" customFormat="1" x14ac:dyDescent="0.35">
      <c r="A26" s="58"/>
      <c r="B26" s="1106" t="s">
        <v>308</v>
      </c>
      <c r="C26" s="1098" t="s">
        <v>309</v>
      </c>
      <c r="D26" s="1099" t="s">
        <v>82</v>
      </c>
      <c r="E26" s="1100" t="s">
        <v>305</v>
      </c>
      <c r="F26" s="1101">
        <v>2</v>
      </c>
      <c r="G26" s="611"/>
      <c r="H26" s="611"/>
      <c r="I26" s="611"/>
      <c r="J26" s="611"/>
      <c r="K26" s="611"/>
      <c r="L26" s="611"/>
      <c r="M26" s="612"/>
      <c r="N26" s="612"/>
      <c r="O26" s="612"/>
      <c r="P26" s="612"/>
      <c r="Q26" s="612"/>
      <c r="R26" s="612"/>
      <c r="S26" s="612"/>
      <c r="T26" s="612"/>
      <c r="U26" s="612"/>
      <c r="V26" s="612"/>
      <c r="W26" s="612"/>
      <c r="X26" s="612"/>
      <c r="Y26" s="612"/>
      <c r="Z26" s="612"/>
      <c r="AA26" s="612"/>
      <c r="AB26" s="612"/>
      <c r="AC26" s="612"/>
      <c r="AD26" s="612"/>
      <c r="AE26" s="612"/>
      <c r="AF26" s="612"/>
      <c r="AG26" s="612"/>
      <c r="AH26" s="612"/>
      <c r="AI26" s="612"/>
      <c r="AJ26" s="612"/>
      <c r="AK26" s="612"/>
      <c r="AL26" s="612"/>
      <c r="AM26" s="612"/>
      <c r="AN26" s="612"/>
      <c r="AO26" s="612"/>
      <c r="AP26" s="612"/>
      <c r="AQ26" s="612"/>
      <c r="AR26" s="612"/>
      <c r="AS26" s="612"/>
      <c r="AT26" s="612"/>
      <c r="AU26" s="612"/>
      <c r="AV26" s="612"/>
      <c r="AW26" s="612"/>
      <c r="AX26" s="612"/>
      <c r="AY26" s="612"/>
      <c r="AZ26" s="612"/>
      <c r="BA26" s="612"/>
      <c r="BB26" s="612"/>
      <c r="BC26" s="612"/>
      <c r="BD26" s="612"/>
      <c r="BE26" s="612"/>
      <c r="BF26" s="612"/>
      <c r="BG26" s="612"/>
      <c r="BH26" s="612"/>
      <c r="BI26" s="612"/>
      <c r="BJ26" s="612"/>
      <c r="BK26" s="612"/>
      <c r="BL26" s="612"/>
      <c r="BM26" s="612"/>
      <c r="BN26" s="612"/>
      <c r="BO26" s="612"/>
      <c r="BP26" s="612"/>
      <c r="BQ26" s="612"/>
      <c r="BR26" s="612"/>
      <c r="BS26" s="612"/>
      <c r="BT26" s="612"/>
      <c r="BU26" s="612"/>
      <c r="BV26" s="612"/>
      <c r="BW26" s="612"/>
      <c r="BX26" s="612"/>
      <c r="BY26" s="612"/>
      <c r="BZ26" s="612"/>
      <c r="CA26" s="612"/>
      <c r="CB26" s="612"/>
      <c r="CC26" s="612"/>
      <c r="CD26" s="612"/>
      <c r="CE26" s="612"/>
      <c r="CF26" s="612"/>
      <c r="CG26" s="612"/>
      <c r="CH26" s="612"/>
      <c r="CI26" s="613"/>
      <c r="CJ26" s="1410"/>
      <c r="CK26" s="605"/>
    </row>
    <row r="27" spans="1:89" s="64" customFormat="1" x14ac:dyDescent="0.35">
      <c r="A27" s="58"/>
      <c r="B27" s="606" t="s">
        <v>310</v>
      </c>
      <c r="C27" s="607" t="s">
        <v>311</v>
      </c>
      <c r="D27" s="608" t="s">
        <v>82</v>
      </c>
      <c r="E27" s="609" t="s">
        <v>305</v>
      </c>
      <c r="F27" s="610">
        <v>2</v>
      </c>
      <c r="G27" s="611">
        <v>0.06</v>
      </c>
      <c r="H27" s="611">
        <v>0.06</v>
      </c>
      <c r="I27" s="611">
        <v>0.06</v>
      </c>
      <c r="J27" s="611">
        <v>0.06</v>
      </c>
      <c r="K27" s="611">
        <v>0.06</v>
      </c>
      <c r="L27" s="611">
        <v>0.06</v>
      </c>
      <c r="M27" s="612">
        <f>TBL3a_DYAABL_[[#This Row],[2024-25]]</f>
        <v>0.06</v>
      </c>
      <c r="N27" s="612">
        <f>TBL3a_DYAABL_[[#This Row],[2025-26]]</f>
        <v>0.06</v>
      </c>
      <c r="O27" s="612">
        <f>TBL3a_DYAABL_[[#This Row],[2026-27]]</f>
        <v>0.06</v>
      </c>
      <c r="P27" s="612">
        <f>TBL3a_DYAABL_[[#This Row],[2027-28]]</f>
        <v>0.06</v>
      </c>
      <c r="Q27" s="612">
        <f>TBL3a_DYAABL_[[#This Row],[2028-29]]</f>
        <v>0.06</v>
      </c>
      <c r="R27" s="612">
        <f>TBL3a_DYAABL_[[#This Row],[2029-30]]</f>
        <v>0.06</v>
      </c>
      <c r="S27" s="612">
        <f>TBL3a_DYAABL_[[#This Row],[2030-31]]</f>
        <v>0.06</v>
      </c>
      <c r="T27" s="612">
        <f>TBL3a_DYAABL_[[#This Row],[2031-32]]</f>
        <v>0.06</v>
      </c>
      <c r="U27" s="612">
        <f>TBL3a_DYAABL_[[#This Row],[2032-33]]</f>
        <v>0.06</v>
      </c>
      <c r="V27" s="612">
        <f>TBL3a_DYAABL_[[#This Row],[2033-34]]</f>
        <v>0.06</v>
      </c>
      <c r="W27" s="612">
        <f>TBL3a_DYAABL_[[#This Row],[2034-35]]</f>
        <v>0.06</v>
      </c>
      <c r="X27" s="612">
        <f>TBL3a_DYAABL_[[#This Row],[2035-36]]</f>
        <v>0.06</v>
      </c>
      <c r="Y27" s="612">
        <f>TBL3a_DYAABL_[[#This Row],[2036-37]]</f>
        <v>0.06</v>
      </c>
      <c r="Z27" s="612">
        <f>TBL3a_DYAABL_[[#This Row],[2037-38]]</f>
        <v>0.06</v>
      </c>
      <c r="AA27" s="612">
        <f>TBL3a_DYAABL_[[#This Row],[2038-39]]</f>
        <v>0.06</v>
      </c>
      <c r="AB27" s="612">
        <f>TBL3a_DYAABL_[[#This Row],[2039-40]]</f>
        <v>0.06</v>
      </c>
      <c r="AC27" s="612">
        <f>TBL3a_DYAABL_[[#This Row],[2040-41]]</f>
        <v>0.06</v>
      </c>
      <c r="AD27" s="612">
        <f>TBL3a_DYAABL_[[#This Row],[2041-42]]</f>
        <v>0.06</v>
      </c>
      <c r="AE27" s="612">
        <f>TBL3a_DYAABL_[[#This Row],[2042-43]]</f>
        <v>0.06</v>
      </c>
      <c r="AF27" s="612">
        <f>TBL3a_DYAABL_[[#This Row],[2043-44]]</f>
        <v>0.06</v>
      </c>
      <c r="AG27" s="612">
        <f>TBL3a_DYAABL_[[#This Row],[2044-45]]</f>
        <v>0.06</v>
      </c>
      <c r="AH27" s="612">
        <f>TBL3a_DYAABL_[[#This Row],[2045-46]]</f>
        <v>0.06</v>
      </c>
      <c r="AI27" s="612">
        <f>TBL3a_DYAABL_[[#This Row],[2046-47]]</f>
        <v>0.06</v>
      </c>
      <c r="AJ27" s="612">
        <f>TBL3a_DYAABL_[[#This Row],[2047-48]]</f>
        <v>0.06</v>
      </c>
      <c r="AK27" s="612">
        <f>TBL3a_DYAABL_[[#This Row],[2048-49]]</f>
        <v>0.06</v>
      </c>
      <c r="AL27" s="612">
        <f>TBL3a_DYAABL_[[#This Row],[2049-50]]</f>
        <v>0.06</v>
      </c>
      <c r="AM27" s="612">
        <f>TBL3a_DYAABL_[[#This Row],[2050-51]]</f>
        <v>0.06</v>
      </c>
      <c r="AN27" s="612">
        <f>TBL3a_DYAABL_[[#This Row],[2051-52]]</f>
        <v>0.06</v>
      </c>
      <c r="AO27" s="612">
        <f>TBL3a_DYAABL_[[#This Row],[2052-53]]</f>
        <v>0.06</v>
      </c>
      <c r="AP27" s="612">
        <f>TBL3a_DYAABL_[[#This Row],[2053-54]]</f>
        <v>0.06</v>
      </c>
      <c r="AQ27" s="612">
        <f>TBL3a_DYAABL_[[#This Row],[2054-55]]</f>
        <v>0.06</v>
      </c>
      <c r="AR27" s="612">
        <f>TBL3a_DYAABL_[[#This Row],[2055-56]]</f>
        <v>0.06</v>
      </c>
      <c r="AS27" s="612">
        <f>TBL3a_DYAABL_[[#This Row],[2056-57]]</f>
        <v>0.06</v>
      </c>
      <c r="AT27" s="612">
        <f>TBL3a_DYAABL_[[#This Row],[2057-58]]</f>
        <v>0.06</v>
      </c>
      <c r="AU27" s="612">
        <f>TBL3a_DYAABL_[[#This Row],[2058-59]]</f>
        <v>0.06</v>
      </c>
      <c r="AV27" s="612">
        <f>TBL3a_DYAABL_[[#This Row],[2059-60]]</f>
        <v>0.06</v>
      </c>
      <c r="AW27" s="612">
        <f>TBL3a_DYAABL_[[#This Row],[2060-61]]</f>
        <v>0.06</v>
      </c>
      <c r="AX27" s="612">
        <f>TBL3a_DYAABL_[[#This Row],[2061-62]]</f>
        <v>0.06</v>
      </c>
      <c r="AY27" s="612">
        <f>TBL3a_DYAABL_[[#This Row],[2062-63]]</f>
        <v>0.06</v>
      </c>
      <c r="AZ27" s="612">
        <f>TBL3a_DYAABL_[[#This Row],[2063-64]]</f>
        <v>0.06</v>
      </c>
      <c r="BA27" s="612">
        <f>TBL3a_DYAABL_[[#This Row],[2064-65]]</f>
        <v>0.06</v>
      </c>
      <c r="BB27" s="612">
        <f>TBL3a_DYAABL_[[#This Row],[2065-66]]</f>
        <v>0.06</v>
      </c>
      <c r="BC27" s="612">
        <f>TBL3a_DYAABL_[[#This Row],[2066-67]]</f>
        <v>0.06</v>
      </c>
      <c r="BD27" s="612">
        <f>TBL3a_DYAABL_[[#This Row],[2067-68]]</f>
        <v>0.06</v>
      </c>
      <c r="BE27" s="612">
        <f>TBL3a_DYAABL_[[#This Row],[2068-69]]</f>
        <v>0.06</v>
      </c>
      <c r="BF27" s="612">
        <f>TBL3a_DYAABL_[[#This Row],[2069-70]]</f>
        <v>0.06</v>
      </c>
      <c r="BG27" s="612">
        <f>TBL3a_DYAABL_[[#This Row],[2070-71]]</f>
        <v>0.06</v>
      </c>
      <c r="BH27" s="612">
        <f>TBL3a_DYAABL_[[#This Row],[2071-72]]</f>
        <v>0.06</v>
      </c>
      <c r="BI27" s="612">
        <f>TBL3a_DYAABL_[[#This Row],[2072-73]]</f>
        <v>0.06</v>
      </c>
      <c r="BJ27" s="612">
        <f>TBL3a_DYAABL_[[#This Row],[2073-74]]</f>
        <v>0.06</v>
      </c>
      <c r="BK27" s="612">
        <f>TBL3a_DYAABL_[[#This Row],[2074-75]]</f>
        <v>0.06</v>
      </c>
      <c r="BL27" s="612">
        <f>TBL3a_DYAABL_[[#This Row],[2075-76]]</f>
        <v>0.06</v>
      </c>
      <c r="BM27" s="612">
        <f>TBL3a_DYAABL_[[#This Row],[2076-77]]</f>
        <v>0.06</v>
      </c>
      <c r="BN27" s="612">
        <f>TBL3a_DYAABL_[[#This Row],[2077-78]]</f>
        <v>0.06</v>
      </c>
      <c r="BO27" s="612">
        <f>TBL3a_DYAABL_[[#This Row],[2078-79]]</f>
        <v>0.06</v>
      </c>
      <c r="BP27" s="612">
        <f>TBL3a_DYAABL_[[#This Row],[2079-80]]</f>
        <v>0.06</v>
      </c>
      <c r="BQ27" s="612">
        <f>TBL3a_DYAABL_[[#This Row],[2080-81]]</f>
        <v>0.06</v>
      </c>
      <c r="BR27" s="612">
        <f>TBL3a_DYAABL_[[#This Row],[2081-82]]</f>
        <v>0.06</v>
      </c>
      <c r="BS27" s="612">
        <f>TBL3a_DYAABL_[[#This Row],[2082-83]]</f>
        <v>0.06</v>
      </c>
      <c r="BT27" s="612">
        <f>TBL3a_DYAABL_[[#This Row],[2083-84]]</f>
        <v>0.06</v>
      </c>
      <c r="BU27" s="612">
        <f>TBL3a_DYAABL_[[#This Row],[2084-85]]</f>
        <v>0.06</v>
      </c>
      <c r="BV27" s="612">
        <f>TBL3a_DYAABL_[[#This Row],[2085-86]]</f>
        <v>0.06</v>
      </c>
      <c r="BW27" s="612">
        <f>TBL3a_DYAABL_[[#This Row],[2086-87]]</f>
        <v>0.06</v>
      </c>
      <c r="BX27" s="612">
        <f>TBL3a_DYAABL_[[#This Row],[2087-88]]</f>
        <v>0.06</v>
      </c>
      <c r="BY27" s="612">
        <f>TBL3a_DYAABL_[[#This Row],[2088-89]]</f>
        <v>0.06</v>
      </c>
      <c r="BZ27" s="612">
        <f>TBL3a_DYAABL_[[#This Row],[2089-90]]</f>
        <v>0.06</v>
      </c>
      <c r="CA27" s="612">
        <f>TBL3a_DYAABL_[[#This Row],[2090-91]]</f>
        <v>0.06</v>
      </c>
      <c r="CB27" s="612">
        <f>TBL3a_DYAABL_[[#This Row],[2091-92]]</f>
        <v>0.06</v>
      </c>
      <c r="CC27" s="612">
        <f>TBL3a_DYAABL_[[#This Row],[2092-93]]</f>
        <v>0.06</v>
      </c>
      <c r="CD27" s="612">
        <f>TBL3a_DYAABL_[[#This Row],[2093-94]]</f>
        <v>0.06</v>
      </c>
      <c r="CE27" s="612">
        <f>TBL3a_DYAABL_[[#This Row],[2094-95]]</f>
        <v>0.06</v>
      </c>
      <c r="CF27" s="612">
        <f>TBL3a_DYAABL_[[#This Row],[2095-96]]</f>
        <v>0.06</v>
      </c>
      <c r="CG27" s="612">
        <f>TBL3a_DYAABL_[[#This Row],[2096-97]]</f>
        <v>0.06</v>
      </c>
      <c r="CH27" s="612">
        <f>TBL3a_DYAABL_[[#This Row],[2097-98]]</f>
        <v>0.06</v>
      </c>
      <c r="CI27" s="613">
        <f>TBL3a_DYAABL_[[#This Row],[2098-99]]</f>
        <v>0.06</v>
      </c>
      <c r="CJ27" s="1410"/>
      <c r="CK27" s="605"/>
    </row>
    <row r="28" spans="1:89" s="64" customFormat="1" x14ac:dyDescent="0.35">
      <c r="A28" s="58"/>
      <c r="B28" s="614" t="s">
        <v>312</v>
      </c>
      <c r="C28" s="607" t="s">
        <v>313</v>
      </c>
      <c r="D28" s="608" t="s">
        <v>82</v>
      </c>
      <c r="E28" s="609" t="s">
        <v>305</v>
      </c>
      <c r="F28" s="610">
        <v>2</v>
      </c>
      <c r="G28" s="611"/>
      <c r="H28" s="611"/>
      <c r="I28" s="611"/>
      <c r="J28" s="611"/>
      <c r="K28" s="611"/>
      <c r="L28" s="611"/>
      <c r="M28" s="612"/>
      <c r="N28" s="612"/>
      <c r="O28" s="612"/>
      <c r="P28" s="612"/>
      <c r="Q28" s="612"/>
      <c r="R28" s="612"/>
      <c r="S28" s="612"/>
      <c r="T28" s="612"/>
      <c r="U28" s="612"/>
      <c r="V28" s="612"/>
      <c r="W28" s="612"/>
      <c r="X28" s="612"/>
      <c r="Y28" s="612"/>
      <c r="Z28" s="612"/>
      <c r="AA28" s="612"/>
      <c r="AB28" s="612"/>
      <c r="AC28" s="612"/>
      <c r="AD28" s="612"/>
      <c r="AE28" s="612"/>
      <c r="AF28" s="612"/>
      <c r="AG28" s="612"/>
      <c r="AH28" s="612"/>
      <c r="AI28" s="612"/>
      <c r="AJ28" s="612"/>
      <c r="AK28" s="612"/>
      <c r="AL28" s="612"/>
      <c r="AM28" s="612"/>
      <c r="AN28" s="612"/>
      <c r="AO28" s="612"/>
      <c r="AP28" s="612"/>
      <c r="AQ28" s="612"/>
      <c r="AR28" s="612"/>
      <c r="AS28" s="612"/>
      <c r="AT28" s="612"/>
      <c r="AU28" s="612"/>
      <c r="AV28" s="612"/>
      <c r="AW28" s="612"/>
      <c r="AX28" s="612"/>
      <c r="AY28" s="612"/>
      <c r="AZ28" s="612"/>
      <c r="BA28" s="612"/>
      <c r="BB28" s="612"/>
      <c r="BC28" s="612"/>
      <c r="BD28" s="612"/>
      <c r="BE28" s="612"/>
      <c r="BF28" s="612"/>
      <c r="BG28" s="612"/>
      <c r="BH28" s="612"/>
      <c r="BI28" s="612"/>
      <c r="BJ28" s="612"/>
      <c r="BK28" s="612"/>
      <c r="BL28" s="612"/>
      <c r="BM28" s="612"/>
      <c r="BN28" s="612"/>
      <c r="BO28" s="612"/>
      <c r="BP28" s="612"/>
      <c r="BQ28" s="612"/>
      <c r="BR28" s="612"/>
      <c r="BS28" s="612"/>
      <c r="BT28" s="612"/>
      <c r="BU28" s="612"/>
      <c r="BV28" s="612"/>
      <c r="BW28" s="612"/>
      <c r="BX28" s="612"/>
      <c r="BY28" s="612"/>
      <c r="BZ28" s="612"/>
      <c r="CA28" s="612"/>
      <c r="CB28" s="612"/>
      <c r="CC28" s="612"/>
      <c r="CD28" s="612"/>
      <c r="CE28" s="612"/>
      <c r="CF28" s="612"/>
      <c r="CG28" s="612"/>
      <c r="CH28" s="612"/>
      <c r="CI28" s="613"/>
      <c r="CJ28" s="1410"/>
      <c r="CK28" s="605"/>
    </row>
    <row r="29" spans="1:89" s="64" customFormat="1" x14ac:dyDescent="0.35">
      <c r="A29" s="58"/>
      <c r="B29" s="614" t="s">
        <v>314</v>
      </c>
      <c r="C29" s="607" t="s">
        <v>315</v>
      </c>
      <c r="D29" s="608" t="s">
        <v>82</v>
      </c>
      <c r="E29" s="609" t="s">
        <v>305</v>
      </c>
      <c r="F29" s="610">
        <v>2</v>
      </c>
      <c r="G29" s="611">
        <v>-0.62</v>
      </c>
      <c r="H29" s="611">
        <v>-0.62</v>
      </c>
      <c r="I29" s="611">
        <v>-0.62</v>
      </c>
      <c r="J29" s="611">
        <v>-0.62</v>
      </c>
      <c r="K29" s="611">
        <v>-0.62</v>
      </c>
      <c r="L29" s="611">
        <v>-0.62</v>
      </c>
      <c r="M29" s="612">
        <f>TBL3a_DYAABL_[[#This Row],[2024-25]]</f>
        <v>-0.62</v>
      </c>
      <c r="N29" s="612">
        <f>TBL3a_DYAABL_[[#This Row],[2025-26]]</f>
        <v>-0.62</v>
      </c>
      <c r="O29" s="612">
        <f>TBL3a_DYAABL_[[#This Row],[2026-27]]</f>
        <v>-0.62</v>
      </c>
      <c r="P29" s="612">
        <f>TBL3a_DYAABL_[[#This Row],[2027-28]]</f>
        <v>-0.62</v>
      </c>
      <c r="Q29" s="612">
        <f>TBL3a_DYAABL_[[#This Row],[2028-29]]</f>
        <v>-0.62</v>
      </c>
      <c r="R29" s="612">
        <f>TBL3a_DYAABL_[[#This Row],[2029-30]]</f>
        <v>-0.62</v>
      </c>
      <c r="S29" s="612">
        <f>TBL3a_DYAABL_[[#This Row],[2030-31]]</f>
        <v>-0.62</v>
      </c>
      <c r="T29" s="612">
        <f>TBL3a_DYAABL_[[#This Row],[2031-32]]</f>
        <v>-0.62</v>
      </c>
      <c r="U29" s="612">
        <f>TBL3a_DYAABL_[[#This Row],[2032-33]]</f>
        <v>-0.62</v>
      </c>
      <c r="V29" s="612">
        <f>TBL3a_DYAABL_[[#This Row],[2033-34]]</f>
        <v>-0.62</v>
      </c>
      <c r="W29" s="612">
        <f>TBL3a_DYAABL_[[#This Row],[2034-35]]</f>
        <v>-0.62</v>
      </c>
      <c r="X29" s="612">
        <f>TBL3a_DYAABL_[[#This Row],[2035-36]]</f>
        <v>-0.62</v>
      </c>
      <c r="Y29" s="612">
        <f>TBL3a_DYAABL_[[#This Row],[2036-37]]</f>
        <v>-0.62</v>
      </c>
      <c r="Z29" s="612">
        <f>TBL3a_DYAABL_[[#This Row],[2037-38]]</f>
        <v>-0.62</v>
      </c>
      <c r="AA29" s="612">
        <f>TBL3a_DYAABL_[[#This Row],[2038-39]]</f>
        <v>-0.62</v>
      </c>
      <c r="AB29" s="612">
        <f>TBL3a_DYAABL_[[#This Row],[2039-40]]</f>
        <v>-0.62</v>
      </c>
      <c r="AC29" s="612">
        <f>TBL3a_DYAABL_[[#This Row],[2040-41]]</f>
        <v>-0.62</v>
      </c>
      <c r="AD29" s="612">
        <f>TBL3a_DYAABL_[[#This Row],[2041-42]]</f>
        <v>-0.62</v>
      </c>
      <c r="AE29" s="612">
        <f>TBL3a_DYAABL_[[#This Row],[2042-43]]</f>
        <v>-0.62</v>
      </c>
      <c r="AF29" s="612">
        <f>TBL3a_DYAABL_[[#This Row],[2043-44]]</f>
        <v>-0.62</v>
      </c>
      <c r="AG29" s="612">
        <f>TBL3a_DYAABL_[[#This Row],[2044-45]]</f>
        <v>-0.62</v>
      </c>
      <c r="AH29" s="612">
        <f>TBL3a_DYAABL_[[#This Row],[2045-46]]</f>
        <v>-0.62</v>
      </c>
      <c r="AI29" s="612">
        <f>TBL3a_DYAABL_[[#This Row],[2046-47]]</f>
        <v>-0.62</v>
      </c>
      <c r="AJ29" s="612">
        <f>TBL3a_DYAABL_[[#This Row],[2047-48]]</f>
        <v>-0.62</v>
      </c>
      <c r="AK29" s="612">
        <f>TBL3a_DYAABL_[[#This Row],[2048-49]]</f>
        <v>-0.62</v>
      </c>
      <c r="AL29" s="612">
        <f>TBL3a_DYAABL_[[#This Row],[2049-50]]</f>
        <v>-0.62</v>
      </c>
      <c r="AM29" s="612">
        <f>TBL3a_DYAABL_[[#This Row],[2050-51]]</f>
        <v>-0.62</v>
      </c>
      <c r="AN29" s="612">
        <f>TBL3a_DYAABL_[[#This Row],[2051-52]]</f>
        <v>-0.62</v>
      </c>
      <c r="AO29" s="612">
        <f>TBL3a_DYAABL_[[#This Row],[2052-53]]</f>
        <v>-0.62</v>
      </c>
      <c r="AP29" s="612">
        <f>TBL3a_DYAABL_[[#This Row],[2053-54]]</f>
        <v>-0.62</v>
      </c>
      <c r="AQ29" s="612">
        <f>TBL3a_DYAABL_[[#This Row],[2054-55]]</f>
        <v>-0.62</v>
      </c>
      <c r="AR29" s="612">
        <f>TBL3a_DYAABL_[[#This Row],[2055-56]]</f>
        <v>-0.62</v>
      </c>
      <c r="AS29" s="612">
        <f>TBL3a_DYAABL_[[#This Row],[2056-57]]</f>
        <v>-0.62</v>
      </c>
      <c r="AT29" s="612">
        <f>TBL3a_DYAABL_[[#This Row],[2057-58]]</f>
        <v>-0.62</v>
      </c>
      <c r="AU29" s="612">
        <f>TBL3a_DYAABL_[[#This Row],[2058-59]]</f>
        <v>-0.62</v>
      </c>
      <c r="AV29" s="612">
        <f>TBL3a_DYAABL_[[#This Row],[2059-60]]</f>
        <v>-0.62</v>
      </c>
      <c r="AW29" s="612">
        <f>TBL3a_DYAABL_[[#This Row],[2060-61]]</f>
        <v>-0.62</v>
      </c>
      <c r="AX29" s="612">
        <f>TBL3a_DYAABL_[[#This Row],[2061-62]]</f>
        <v>-0.62</v>
      </c>
      <c r="AY29" s="612">
        <f>TBL3a_DYAABL_[[#This Row],[2062-63]]</f>
        <v>-0.62</v>
      </c>
      <c r="AZ29" s="612">
        <f>TBL3a_DYAABL_[[#This Row],[2063-64]]</f>
        <v>-0.62</v>
      </c>
      <c r="BA29" s="612">
        <f>TBL3a_DYAABL_[[#This Row],[2064-65]]</f>
        <v>-0.62</v>
      </c>
      <c r="BB29" s="612">
        <f>TBL3a_DYAABL_[[#This Row],[2065-66]]</f>
        <v>-0.62</v>
      </c>
      <c r="BC29" s="612">
        <f>TBL3a_DYAABL_[[#This Row],[2066-67]]</f>
        <v>-0.62</v>
      </c>
      <c r="BD29" s="612">
        <f>TBL3a_DYAABL_[[#This Row],[2067-68]]</f>
        <v>-0.62</v>
      </c>
      <c r="BE29" s="612">
        <f>TBL3a_DYAABL_[[#This Row],[2068-69]]</f>
        <v>-0.62</v>
      </c>
      <c r="BF29" s="612">
        <f>TBL3a_DYAABL_[[#This Row],[2069-70]]</f>
        <v>-0.62</v>
      </c>
      <c r="BG29" s="612">
        <f>TBL3a_DYAABL_[[#This Row],[2070-71]]</f>
        <v>-0.62</v>
      </c>
      <c r="BH29" s="612">
        <f>TBL3a_DYAABL_[[#This Row],[2071-72]]</f>
        <v>-0.62</v>
      </c>
      <c r="BI29" s="612">
        <f>TBL3a_DYAABL_[[#This Row],[2072-73]]</f>
        <v>-0.62</v>
      </c>
      <c r="BJ29" s="612">
        <f>TBL3a_DYAABL_[[#This Row],[2073-74]]</f>
        <v>-0.62</v>
      </c>
      <c r="BK29" s="612">
        <f>TBL3a_DYAABL_[[#This Row],[2074-75]]</f>
        <v>-0.62</v>
      </c>
      <c r="BL29" s="612">
        <f>TBL3a_DYAABL_[[#This Row],[2075-76]]</f>
        <v>-0.62</v>
      </c>
      <c r="BM29" s="612">
        <f>TBL3a_DYAABL_[[#This Row],[2076-77]]</f>
        <v>-0.62</v>
      </c>
      <c r="BN29" s="612">
        <f>TBL3a_DYAABL_[[#This Row],[2077-78]]</f>
        <v>-0.62</v>
      </c>
      <c r="BO29" s="612">
        <f>TBL3a_DYAABL_[[#This Row],[2078-79]]</f>
        <v>-0.62</v>
      </c>
      <c r="BP29" s="612">
        <f>TBL3a_DYAABL_[[#This Row],[2079-80]]</f>
        <v>-0.62</v>
      </c>
      <c r="BQ29" s="612">
        <f>TBL3a_DYAABL_[[#This Row],[2080-81]]</f>
        <v>-0.62</v>
      </c>
      <c r="BR29" s="612">
        <f>TBL3a_DYAABL_[[#This Row],[2081-82]]</f>
        <v>-0.62</v>
      </c>
      <c r="BS29" s="612">
        <f>TBL3a_DYAABL_[[#This Row],[2082-83]]</f>
        <v>-0.62</v>
      </c>
      <c r="BT29" s="612">
        <f>TBL3a_DYAABL_[[#This Row],[2083-84]]</f>
        <v>-0.62</v>
      </c>
      <c r="BU29" s="612">
        <f>TBL3a_DYAABL_[[#This Row],[2084-85]]</f>
        <v>-0.62</v>
      </c>
      <c r="BV29" s="612">
        <f>TBL3a_DYAABL_[[#This Row],[2085-86]]</f>
        <v>-0.62</v>
      </c>
      <c r="BW29" s="612">
        <f>TBL3a_DYAABL_[[#This Row],[2086-87]]</f>
        <v>-0.62</v>
      </c>
      <c r="BX29" s="612">
        <f>TBL3a_DYAABL_[[#This Row],[2087-88]]</f>
        <v>-0.62</v>
      </c>
      <c r="BY29" s="612">
        <f>TBL3a_DYAABL_[[#This Row],[2088-89]]</f>
        <v>-0.62</v>
      </c>
      <c r="BZ29" s="612">
        <f>TBL3a_DYAABL_[[#This Row],[2089-90]]</f>
        <v>-0.62</v>
      </c>
      <c r="CA29" s="612">
        <f>TBL3a_DYAABL_[[#This Row],[2090-91]]</f>
        <v>-0.62</v>
      </c>
      <c r="CB29" s="612">
        <f>TBL3a_DYAABL_[[#This Row],[2091-92]]</f>
        <v>-0.62</v>
      </c>
      <c r="CC29" s="612">
        <f>TBL3a_DYAABL_[[#This Row],[2092-93]]</f>
        <v>-0.62</v>
      </c>
      <c r="CD29" s="612">
        <f>TBL3a_DYAABL_[[#This Row],[2093-94]]</f>
        <v>-0.62</v>
      </c>
      <c r="CE29" s="612">
        <f>TBL3a_DYAABL_[[#This Row],[2094-95]]</f>
        <v>-0.62</v>
      </c>
      <c r="CF29" s="612">
        <f>TBL3a_DYAABL_[[#This Row],[2095-96]]</f>
        <v>-0.62</v>
      </c>
      <c r="CG29" s="612">
        <f>TBL3a_DYAABL_[[#This Row],[2096-97]]</f>
        <v>-0.62</v>
      </c>
      <c r="CH29" s="612">
        <f>TBL3a_DYAABL_[[#This Row],[2097-98]]</f>
        <v>-0.62</v>
      </c>
      <c r="CI29" s="613">
        <f>TBL3a_DYAABL_[[#This Row],[2098-99]]</f>
        <v>-0.62</v>
      </c>
      <c r="CJ29" s="1410"/>
      <c r="CK29" s="605"/>
    </row>
    <row r="30" spans="1:89" s="64" customFormat="1" x14ac:dyDescent="0.35">
      <c r="A30" s="58"/>
      <c r="B30" s="614" t="s">
        <v>316</v>
      </c>
      <c r="C30" s="607" t="s">
        <v>317</v>
      </c>
      <c r="D30" s="608" t="s">
        <v>82</v>
      </c>
      <c r="E30" s="609" t="s">
        <v>305</v>
      </c>
      <c r="F30" s="610">
        <v>2</v>
      </c>
      <c r="G30" s="611">
        <v>102.74000000000001</v>
      </c>
      <c r="H30" s="611">
        <v>102.74000000000001</v>
      </c>
      <c r="I30" s="611">
        <v>102.74000000000001</v>
      </c>
      <c r="J30" s="611">
        <v>102.74000000000001</v>
      </c>
      <c r="K30" s="611">
        <v>102.74000000000001</v>
      </c>
      <c r="L30" s="611">
        <v>102.74000000000001</v>
      </c>
      <c r="M30" s="615">
        <f>TBL3a_DYAABL_[[#This Row],[2024-25]]</f>
        <v>102.74000000000001</v>
      </c>
      <c r="N30" s="615">
        <f>TBL3a_DYAABL_[[#This Row],[2025-26]]</f>
        <v>102.74000000000001</v>
      </c>
      <c r="O30" s="615">
        <f>TBL3a_DYAABL_[[#This Row],[2026-27]]</f>
        <v>102.74000000000001</v>
      </c>
      <c r="P30" s="615">
        <f>TBL3a_DYAABL_[[#This Row],[2027-28]]</f>
        <v>102.74000000000001</v>
      </c>
      <c r="Q30" s="615">
        <f>TBL3a_DYAABL_[[#This Row],[2028-29]]</f>
        <v>102.74000000000001</v>
      </c>
      <c r="R30" s="615">
        <f>TBL3a_DYAABL_[[#This Row],[2029-30]]</f>
        <v>102.74000000000001</v>
      </c>
      <c r="S30" s="615">
        <f>TBL3a_DYAABL_[[#This Row],[2030-31]]</f>
        <v>102.74000000000001</v>
      </c>
      <c r="T30" s="615">
        <f>TBL3a_DYAABL_[[#This Row],[2031-32]]</f>
        <v>102.74000000000001</v>
      </c>
      <c r="U30" s="615">
        <f>TBL3a_DYAABL_[[#This Row],[2032-33]]</f>
        <v>102.74000000000001</v>
      </c>
      <c r="V30" s="615">
        <f>TBL3a_DYAABL_[[#This Row],[2033-34]]</f>
        <v>102.74000000000001</v>
      </c>
      <c r="W30" s="615">
        <f>TBL3a_DYAABL_[[#This Row],[2034-35]]</f>
        <v>102.74000000000001</v>
      </c>
      <c r="X30" s="615">
        <f>TBL3a_DYAABL_[[#This Row],[2035-36]]</f>
        <v>102.74000000000001</v>
      </c>
      <c r="Y30" s="615">
        <f>TBL3a_DYAABL_[[#This Row],[2036-37]]</f>
        <v>102.74000000000001</v>
      </c>
      <c r="Z30" s="615">
        <f>TBL3a_DYAABL_[[#This Row],[2037-38]]</f>
        <v>102.74000000000001</v>
      </c>
      <c r="AA30" s="615">
        <f>TBL3a_DYAABL_[[#This Row],[2038-39]]</f>
        <v>102.74000000000001</v>
      </c>
      <c r="AB30" s="615">
        <f>TBL3a_DYAABL_[[#This Row],[2039-40]]</f>
        <v>102.74000000000001</v>
      </c>
      <c r="AC30" s="615">
        <f>TBL3a_DYAABL_[[#This Row],[2040-41]]</f>
        <v>102.74000000000001</v>
      </c>
      <c r="AD30" s="615">
        <f>TBL3a_DYAABL_[[#This Row],[2041-42]]</f>
        <v>102.74000000000001</v>
      </c>
      <c r="AE30" s="615">
        <f>TBL3a_DYAABL_[[#This Row],[2042-43]]</f>
        <v>102.74000000000001</v>
      </c>
      <c r="AF30" s="615">
        <f>TBL3a_DYAABL_[[#This Row],[2043-44]]</f>
        <v>102.74000000000001</v>
      </c>
      <c r="AG30" s="615">
        <f>TBL3a_DYAABL_[[#This Row],[2044-45]]</f>
        <v>102.74000000000001</v>
      </c>
      <c r="AH30" s="615">
        <f>TBL3a_DYAABL_[[#This Row],[2045-46]]</f>
        <v>102.74000000000001</v>
      </c>
      <c r="AI30" s="615">
        <f>TBL3a_DYAABL_[[#This Row],[2046-47]]</f>
        <v>102.74000000000001</v>
      </c>
      <c r="AJ30" s="615">
        <f>TBL3a_DYAABL_[[#This Row],[2047-48]]</f>
        <v>102.74000000000001</v>
      </c>
      <c r="AK30" s="615">
        <f>TBL3a_DYAABL_[[#This Row],[2048-49]]</f>
        <v>102.74000000000001</v>
      </c>
      <c r="AL30" s="615">
        <f>TBL3a_DYAABL_[[#This Row],[2049-50]]</f>
        <v>102.74000000000001</v>
      </c>
      <c r="AM30" s="615">
        <f>TBL3a_DYAABL_[[#This Row],[2050-51]]</f>
        <v>102.74000000000001</v>
      </c>
      <c r="AN30" s="615">
        <f>TBL3a_DYAABL_[[#This Row],[2051-52]]</f>
        <v>102.74000000000001</v>
      </c>
      <c r="AO30" s="615">
        <f>TBL3a_DYAABL_[[#This Row],[2052-53]]</f>
        <v>102.74000000000001</v>
      </c>
      <c r="AP30" s="615">
        <f>TBL3a_DYAABL_[[#This Row],[2053-54]]</f>
        <v>102.74000000000001</v>
      </c>
      <c r="AQ30" s="615">
        <f>TBL3a_DYAABL_[[#This Row],[2054-55]]</f>
        <v>102.74000000000001</v>
      </c>
      <c r="AR30" s="615">
        <f>TBL3a_DYAABL_[[#This Row],[2055-56]]</f>
        <v>102.74000000000001</v>
      </c>
      <c r="AS30" s="615">
        <f>TBL3a_DYAABL_[[#This Row],[2056-57]]</f>
        <v>102.74000000000001</v>
      </c>
      <c r="AT30" s="615">
        <f>TBL3a_DYAABL_[[#This Row],[2057-58]]</f>
        <v>102.74000000000001</v>
      </c>
      <c r="AU30" s="615">
        <f>TBL3a_DYAABL_[[#This Row],[2058-59]]</f>
        <v>102.74000000000001</v>
      </c>
      <c r="AV30" s="615">
        <f>TBL3a_DYAABL_[[#This Row],[2059-60]]</f>
        <v>102.74000000000001</v>
      </c>
      <c r="AW30" s="615">
        <f>TBL3a_DYAABL_[[#This Row],[2060-61]]</f>
        <v>102.74000000000001</v>
      </c>
      <c r="AX30" s="615">
        <f>TBL3a_DYAABL_[[#This Row],[2061-62]]</f>
        <v>102.74000000000001</v>
      </c>
      <c r="AY30" s="615">
        <f>TBL3a_DYAABL_[[#This Row],[2062-63]]</f>
        <v>102.74000000000001</v>
      </c>
      <c r="AZ30" s="615">
        <f>TBL3a_DYAABL_[[#This Row],[2063-64]]</f>
        <v>102.74000000000001</v>
      </c>
      <c r="BA30" s="615">
        <f>TBL3a_DYAABL_[[#This Row],[2064-65]]</f>
        <v>102.74000000000001</v>
      </c>
      <c r="BB30" s="615">
        <f>TBL3a_DYAABL_[[#This Row],[2065-66]]</f>
        <v>102.74000000000001</v>
      </c>
      <c r="BC30" s="615">
        <f>TBL3a_DYAABL_[[#This Row],[2066-67]]</f>
        <v>102.74000000000001</v>
      </c>
      <c r="BD30" s="615">
        <f>TBL3a_DYAABL_[[#This Row],[2067-68]]</f>
        <v>102.74000000000001</v>
      </c>
      <c r="BE30" s="615">
        <f>TBL3a_DYAABL_[[#This Row],[2068-69]]</f>
        <v>102.74000000000001</v>
      </c>
      <c r="BF30" s="615">
        <f>TBL3a_DYAABL_[[#This Row],[2069-70]]</f>
        <v>102.74000000000001</v>
      </c>
      <c r="BG30" s="615">
        <f>TBL3a_DYAABL_[[#This Row],[2070-71]]</f>
        <v>102.74000000000001</v>
      </c>
      <c r="BH30" s="615">
        <f>TBL3a_DYAABL_[[#This Row],[2071-72]]</f>
        <v>102.74000000000001</v>
      </c>
      <c r="BI30" s="615">
        <f>TBL3a_DYAABL_[[#This Row],[2072-73]]</f>
        <v>102.74000000000001</v>
      </c>
      <c r="BJ30" s="615">
        <f>TBL3a_DYAABL_[[#This Row],[2073-74]]</f>
        <v>102.74000000000001</v>
      </c>
      <c r="BK30" s="615">
        <f>TBL3a_DYAABL_[[#This Row],[2074-75]]</f>
        <v>102.74000000000001</v>
      </c>
      <c r="BL30" s="615">
        <f>TBL3a_DYAABL_[[#This Row],[2075-76]]</f>
        <v>102.74000000000001</v>
      </c>
      <c r="BM30" s="615">
        <f>TBL3a_DYAABL_[[#This Row],[2076-77]]</f>
        <v>102.74000000000001</v>
      </c>
      <c r="BN30" s="615">
        <f>TBL3a_DYAABL_[[#This Row],[2077-78]]</f>
        <v>102.74000000000001</v>
      </c>
      <c r="BO30" s="615">
        <f>TBL3a_DYAABL_[[#This Row],[2078-79]]</f>
        <v>102.74000000000001</v>
      </c>
      <c r="BP30" s="615">
        <f>TBL3a_DYAABL_[[#This Row],[2079-80]]</f>
        <v>102.74000000000001</v>
      </c>
      <c r="BQ30" s="615">
        <f>TBL3a_DYAABL_[[#This Row],[2080-81]]</f>
        <v>102.74000000000001</v>
      </c>
      <c r="BR30" s="615">
        <f>TBL3a_DYAABL_[[#This Row],[2081-82]]</f>
        <v>102.74000000000001</v>
      </c>
      <c r="BS30" s="615">
        <f>TBL3a_DYAABL_[[#This Row],[2082-83]]</f>
        <v>102.74000000000001</v>
      </c>
      <c r="BT30" s="615">
        <f>TBL3a_DYAABL_[[#This Row],[2083-84]]</f>
        <v>102.74000000000001</v>
      </c>
      <c r="BU30" s="615">
        <f>TBL3a_DYAABL_[[#This Row],[2084-85]]</f>
        <v>102.74000000000001</v>
      </c>
      <c r="BV30" s="615">
        <f>TBL3a_DYAABL_[[#This Row],[2085-86]]</f>
        <v>102.74000000000001</v>
      </c>
      <c r="BW30" s="615">
        <f>TBL3a_DYAABL_[[#This Row],[2086-87]]</f>
        <v>102.74000000000001</v>
      </c>
      <c r="BX30" s="615">
        <f>TBL3a_DYAABL_[[#This Row],[2087-88]]</f>
        <v>102.74000000000001</v>
      </c>
      <c r="BY30" s="615">
        <f>TBL3a_DYAABL_[[#This Row],[2088-89]]</f>
        <v>102.74000000000001</v>
      </c>
      <c r="BZ30" s="615">
        <f>TBL3a_DYAABL_[[#This Row],[2089-90]]</f>
        <v>102.74000000000001</v>
      </c>
      <c r="CA30" s="615">
        <f>TBL3a_DYAABL_[[#This Row],[2090-91]]</f>
        <v>102.74000000000001</v>
      </c>
      <c r="CB30" s="615">
        <f>TBL3a_DYAABL_[[#This Row],[2091-92]]</f>
        <v>102.74000000000001</v>
      </c>
      <c r="CC30" s="615">
        <f>TBL3a_DYAABL_[[#This Row],[2092-93]]</f>
        <v>102.74000000000001</v>
      </c>
      <c r="CD30" s="615">
        <f>TBL3a_DYAABL_[[#This Row],[2093-94]]</f>
        <v>102.74000000000001</v>
      </c>
      <c r="CE30" s="615">
        <f>TBL3a_DYAABL_[[#This Row],[2094-95]]</f>
        <v>102.74000000000001</v>
      </c>
      <c r="CF30" s="615">
        <f>TBL3a_DYAABL_[[#This Row],[2095-96]]</f>
        <v>102.74000000000001</v>
      </c>
      <c r="CG30" s="615">
        <f>TBL3a_DYAABL_[[#This Row],[2096-97]]</f>
        <v>102.74000000000001</v>
      </c>
      <c r="CH30" s="615">
        <f>TBL3a_DYAABL_[[#This Row],[2097-98]]</f>
        <v>102.74000000000001</v>
      </c>
      <c r="CI30" s="616">
        <f>TBL3a_DYAABL_[[#This Row],[2098-99]]</f>
        <v>102.74000000000001</v>
      </c>
      <c r="CJ30" s="1410"/>
      <c r="CK30" s="605"/>
    </row>
    <row r="31" spans="1:89" s="64" customFormat="1" x14ac:dyDescent="0.35">
      <c r="A31" s="58"/>
      <c r="B31" s="614" t="s">
        <v>318</v>
      </c>
      <c r="C31" s="617" t="s">
        <v>319</v>
      </c>
      <c r="D31" s="608" t="s">
        <v>320</v>
      </c>
      <c r="E31" s="609" t="s">
        <v>305</v>
      </c>
      <c r="F31" s="610">
        <v>2</v>
      </c>
      <c r="G31" s="618">
        <f>G30+G32</f>
        <v>96.62</v>
      </c>
      <c r="H31" s="618">
        <f t="shared" ref="H31:BS31" si="2">H30+H32</f>
        <v>96.62</v>
      </c>
      <c r="I31" s="618">
        <f t="shared" si="2"/>
        <v>96.62</v>
      </c>
      <c r="J31" s="618">
        <f t="shared" si="2"/>
        <v>96.62</v>
      </c>
      <c r="K31" s="618">
        <f t="shared" si="2"/>
        <v>96.62</v>
      </c>
      <c r="L31" s="618">
        <f t="shared" si="2"/>
        <v>94.62</v>
      </c>
      <c r="M31" s="618">
        <f t="shared" si="2"/>
        <v>93.387847338129518</v>
      </c>
      <c r="N31" s="618">
        <f t="shared" si="2"/>
        <v>93.239947338129525</v>
      </c>
      <c r="O31" s="618">
        <f t="shared" si="2"/>
        <v>92.732047338129519</v>
      </c>
      <c r="P31" s="618">
        <f t="shared" si="2"/>
        <v>92.584147338129526</v>
      </c>
      <c r="Q31" s="618">
        <f t="shared" si="2"/>
        <v>92.436247338129519</v>
      </c>
      <c r="R31" s="618">
        <f t="shared" si="2"/>
        <v>74.278347338129521</v>
      </c>
      <c r="S31" s="618">
        <f t="shared" si="2"/>
        <v>74.130447338129514</v>
      </c>
      <c r="T31" s="618">
        <f t="shared" si="2"/>
        <v>73.982547338129521</v>
      </c>
      <c r="U31" s="618">
        <f t="shared" si="2"/>
        <v>73.834647338129514</v>
      </c>
      <c r="V31" s="618">
        <f t="shared" si="2"/>
        <v>73.686747338129521</v>
      </c>
      <c r="W31" s="618">
        <f t="shared" si="2"/>
        <v>73.538847338129514</v>
      </c>
      <c r="X31" s="618">
        <f t="shared" si="2"/>
        <v>73.390947338129521</v>
      </c>
      <c r="Y31" s="618">
        <f t="shared" si="2"/>
        <v>73.243047338129514</v>
      </c>
      <c r="Z31" s="618">
        <f t="shared" si="2"/>
        <v>73.095147338129522</v>
      </c>
      <c r="AA31" s="618">
        <f t="shared" si="2"/>
        <v>72.947247338129515</v>
      </c>
      <c r="AB31" s="618">
        <f t="shared" si="2"/>
        <v>40.910000000000011</v>
      </c>
      <c r="AC31" s="618">
        <f t="shared" si="2"/>
        <v>40.910000000000011</v>
      </c>
      <c r="AD31" s="618">
        <f t="shared" si="2"/>
        <v>40.910000000000011</v>
      </c>
      <c r="AE31" s="618">
        <f t="shared" si="2"/>
        <v>40.910000000000011</v>
      </c>
      <c r="AF31" s="618">
        <f t="shared" si="2"/>
        <v>40.910000000000011</v>
      </c>
      <c r="AG31" s="618">
        <f t="shared" si="2"/>
        <v>40.910000000000011</v>
      </c>
      <c r="AH31" s="618">
        <f t="shared" si="2"/>
        <v>40.910000000000011</v>
      </c>
      <c r="AI31" s="618">
        <f t="shared" si="2"/>
        <v>40.910000000000011</v>
      </c>
      <c r="AJ31" s="618">
        <f t="shared" si="2"/>
        <v>40.910000000000011</v>
      </c>
      <c r="AK31" s="618">
        <f t="shared" si="2"/>
        <v>40.910000000000011</v>
      </c>
      <c r="AL31" s="618">
        <f t="shared" si="2"/>
        <v>40.910000000000011</v>
      </c>
      <c r="AM31" s="618">
        <f t="shared" si="2"/>
        <v>40.910000000000011</v>
      </c>
      <c r="AN31" s="618">
        <f t="shared" si="2"/>
        <v>40.910000000000011</v>
      </c>
      <c r="AO31" s="618">
        <f t="shared" si="2"/>
        <v>40.910000000000011</v>
      </c>
      <c r="AP31" s="618">
        <f t="shared" si="2"/>
        <v>40.910000000000011</v>
      </c>
      <c r="AQ31" s="618">
        <f t="shared" si="2"/>
        <v>40.910000000000011</v>
      </c>
      <c r="AR31" s="618">
        <f t="shared" si="2"/>
        <v>40.910000000000011</v>
      </c>
      <c r="AS31" s="618">
        <f t="shared" si="2"/>
        <v>40.910000000000011</v>
      </c>
      <c r="AT31" s="618">
        <f t="shared" si="2"/>
        <v>40.910000000000011</v>
      </c>
      <c r="AU31" s="618">
        <f t="shared" si="2"/>
        <v>40.910000000000011</v>
      </c>
      <c r="AV31" s="618">
        <f t="shared" si="2"/>
        <v>40.910000000000011</v>
      </c>
      <c r="AW31" s="618">
        <f t="shared" si="2"/>
        <v>40.910000000000011</v>
      </c>
      <c r="AX31" s="618">
        <f t="shared" si="2"/>
        <v>40.910000000000011</v>
      </c>
      <c r="AY31" s="618">
        <f t="shared" si="2"/>
        <v>40.910000000000011</v>
      </c>
      <c r="AZ31" s="618">
        <f t="shared" si="2"/>
        <v>40.910000000000011</v>
      </c>
      <c r="BA31" s="618">
        <f t="shared" si="2"/>
        <v>40.910000000000011</v>
      </c>
      <c r="BB31" s="618">
        <f t="shared" si="2"/>
        <v>40.910000000000011</v>
      </c>
      <c r="BC31" s="618">
        <f t="shared" si="2"/>
        <v>40.910000000000011</v>
      </c>
      <c r="BD31" s="618">
        <f t="shared" si="2"/>
        <v>40.910000000000011</v>
      </c>
      <c r="BE31" s="618">
        <f t="shared" si="2"/>
        <v>40.910000000000011</v>
      </c>
      <c r="BF31" s="618">
        <f t="shared" si="2"/>
        <v>40.910000000000011</v>
      </c>
      <c r="BG31" s="618">
        <f t="shared" si="2"/>
        <v>40.910000000000011</v>
      </c>
      <c r="BH31" s="618">
        <f t="shared" si="2"/>
        <v>40.910000000000011</v>
      </c>
      <c r="BI31" s="618">
        <f t="shared" si="2"/>
        <v>40.910000000000011</v>
      </c>
      <c r="BJ31" s="618">
        <f t="shared" si="2"/>
        <v>40.910000000000011</v>
      </c>
      <c r="BK31" s="618">
        <f t="shared" si="2"/>
        <v>40.910000000000011</v>
      </c>
      <c r="BL31" s="618">
        <f t="shared" si="2"/>
        <v>40.910000000000011</v>
      </c>
      <c r="BM31" s="618">
        <f t="shared" si="2"/>
        <v>40.910000000000011</v>
      </c>
      <c r="BN31" s="618">
        <f t="shared" si="2"/>
        <v>40.910000000000011</v>
      </c>
      <c r="BO31" s="618">
        <f t="shared" si="2"/>
        <v>40.910000000000011</v>
      </c>
      <c r="BP31" s="618">
        <f t="shared" si="2"/>
        <v>40.910000000000011</v>
      </c>
      <c r="BQ31" s="618">
        <f t="shared" si="2"/>
        <v>40.910000000000011</v>
      </c>
      <c r="BR31" s="618">
        <f t="shared" si="2"/>
        <v>40.910000000000011</v>
      </c>
      <c r="BS31" s="618">
        <f t="shared" si="2"/>
        <v>40.910000000000011</v>
      </c>
      <c r="BT31" s="618">
        <f t="shared" ref="BT31:CI31" si="3">BT30+BT32</f>
        <v>40.910000000000011</v>
      </c>
      <c r="BU31" s="618">
        <f t="shared" si="3"/>
        <v>40.910000000000011</v>
      </c>
      <c r="BV31" s="618">
        <f t="shared" si="3"/>
        <v>40.910000000000011</v>
      </c>
      <c r="BW31" s="618">
        <f t="shared" si="3"/>
        <v>40.910000000000011</v>
      </c>
      <c r="BX31" s="618">
        <f t="shared" si="3"/>
        <v>40.910000000000011</v>
      </c>
      <c r="BY31" s="618">
        <f t="shared" si="3"/>
        <v>40.910000000000011</v>
      </c>
      <c r="BZ31" s="618">
        <f t="shared" si="3"/>
        <v>40.910000000000011</v>
      </c>
      <c r="CA31" s="618">
        <f t="shared" si="3"/>
        <v>40.910000000000011</v>
      </c>
      <c r="CB31" s="618">
        <f t="shared" si="3"/>
        <v>40.910000000000011</v>
      </c>
      <c r="CC31" s="618">
        <f t="shared" si="3"/>
        <v>40.910000000000011</v>
      </c>
      <c r="CD31" s="618">
        <f t="shared" si="3"/>
        <v>40.910000000000011</v>
      </c>
      <c r="CE31" s="618">
        <f t="shared" si="3"/>
        <v>40.910000000000011</v>
      </c>
      <c r="CF31" s="618">
        <f t="shared" si="3"/>
        <v>40.910000000000011</v>
      </c>
      <c r="CG31" s="618">
        <f t="shared" si="3"/>
        <v>40.910000000000011</v>
      </c>
      <c r="CH31" s="618">
        <f t="shared" si="3"/>
        <v>40.910000000000011</v>
      </c>
      <c r="CI31" s="619">
        <f t="shared" si="3"/>
        <v>40.910000000000011</v>
      </c>
      <c r="CJ31" s="1410"/>
      <c r="CK31" s="605"/>
    </row>
    <row r="32" spans="1:89" s="64" customFormat="1" ht="28" x14ac:dyDescent="0.35">
      <c r="A32" s="58"/>
      <c r="B32" s="620" t="s">
        <v>321</v>
      </c>
      <c r="C32" s="621" t="s">
        <v>322</v>
      </c>
      <c r="D32" s="621" t="s">
        <v>323</v>
      </c>
      <c r="E32" s="622" t="s">
        <v>305</v>
      </c>
      <c r="F32" s="610">
        <v>2</v>
      </c>
      <c r="G32" s="618">
        <f>SUM(G33:G38)</f>
        <v>-6.12</v>
      </c>
      <c r="H32" s="618">
        <f t="shared" ref="H32:BS32" si="4">SUM(H33:H38)</f>
        <v>-6.12</v>
      </c>
      <c r="I32" s="618">
        <f t="shared" si="4"/>
        <v>-6.12</v>
      </c>
      <c r="J32" s="618">
        <f t="shared" si="4"/>
        <v>-6.12</v>
      </c>
      <c r="K32" s="618">
        <f t="shared" si="4"/>
        <v>-6.12</v>
      </c>
      <c r="L32" s="618">
        <f t="shared" si="4"/>
        <v>-8.120000000000001</v>
      </c>
      <c r="M32" s="623">
        <f t="shared" si="4"/>
        <v>-9.3521526618704893</v>
      </c>
      <c r="N32" s="623">
        <f t="shared" si="4"/>
        <v>-9.500052661870491</v>
      </c>
      <c r="O32" s="623">
        <f t="shared" si="4"/>
        <v>-10.00795266187049</v>
      </c>
      <c r="P32" s="623">
        <f t="shared" si="4"/>
        <v>-10.15585266187049</v>
      </c>
      <c r="Q32" s="623">
        <f t="shared" si="4"/>
        <v>-10.30375266187049</v>
      </c>
      <c r="R32" s="623">
        <f t="shared" si="4"/>
        <v>-28.461652661870492</v>
      </c>
      <c r="S32" s="623">
        <f t="shared" si="4"/>
        <v>-28.609552661870492</v>
      </c>
      <c r="T32" s="623">
        <f t="shared" si="4"/>
        <v>-28.757452661870492</v>
      </c>
      <c r="U32" s="623">
        <f t="shared" si="4"/>
        <v>-28.905352661870491</v>
      </c>
      <c r="V32" s="623">
        <f t="shared" si="4"/>
        <v>-29.053252661870491</v>
      </c>
      <c r="W32" s="623">
        <f t="shared" si="4"/>
        <v>-29.201152661870491</v>
      </c>
      <c r="X32" s="623">
        <f t="shared" si="4"/>
        <v>-29.349052661870491</v>
      </c>
      <c r="Y32" s="623">
        <f t="shared" si="4"/>
        <v>-29.496952661870491</v>
      </c>
      <c r="Z32" s="623">
        <f t="shared" si="4"/>
        <v>-29.644852661870491</v>
      </c>
      <c r="AA32" s="623">
        <f t="shared" si="4"/>
        <v>-29.792752661870491</v>
      </c>
      <c r="AB32" s="623">
        <f t="shared" si="4"/>
        <v>-61.83</v>
      </c>
      <c r="AC32" s="623">
        <f t="shared" si="4"/>
        <v>-61.83</v>
      </c>
      <c r="AD32" s="623">
        <f t="shared" si="4"/>
        <v>-61.83</v>
      </c>
      <c r="AE32" s="623">
        <f t="shared" si="4"/>
        <v>-61.83</v>
      </c>
      <c r="AF32" s="623">
        <f t="shared" si="4"/>
        <v>-61.83</v>
      </c>
      <c r="AG32" s="623">
        <f t="shared" si="4"/>
        <v>-61.83</v>
      </c>
      <c r="AH32" s="623">
        <f t="shared" si="4"/>
        <v>-61.83</v>
      </c>
      <c r="AI32" s="623">
        <f t="shared" si="4"/>
        <v>-61.83</v>
      </c>
      <c r="AJ32" s="623">
        <f t="shared" si="4"/>
        <v>-61.83</v>
      </c>
      <c r="AK32" s="623">
        <f t="shared" si="4"/>
        <v>-61.83</v>
      </c>
      <c r="AL32" s="623">
        <f t="shared" si="4"/>
        <v>-61.83</v>
      </c>
      <c r="AM32" s="623">
        <f t="shared" si="4"/>
        <v>-61.83</v>
      </c>
      <c r="AN32" s="623">
        <f t="shared" si="4"/>
        <v>-61.83</v>
      </c>
      <c r="AO32" s="623">
        <f t="shared" si="4"/>
        <v>-61.83</v>
      </c>
      <c r="AP32" s="623">
        <f t="shared" si="4"/>
        <v>-61.83</v>
      </c>
      <c r="AQ32" s="623">
        <f t="shared" si="4"/>
        <v>-61.83</v>
      </c>
      <c r="AR32" s="623">
        <f t="shared" si="4"/>
        <v>-61.83</v>
      </c>
      <c r="AS32" s="623">
        <f t="shared" si="4"/>
        <v>-61.83</v>
      </c>
      <c r="AT32" s="623">
        <f t="shared" si="4"/>
        <v>-61.83</v>
      </c>
      <c r="AU32" s="623">
        <f t="shared" si="4"/>
        <v>-61.83</v>
      </c>
      <c r="AV32" s="623">
        <f t="shared" si="4"/>
        <v>-61.83</v>
      </c>
      <c r="AW32" s="623">
        <f t="shared" si="4"/>
        <v>-61.83</v>
      </c>
      <c r="AX32" s="623">
        <f t="shared" si="4"/>
        <v>-61.83</v>
      </c>
      <c r="AY32" s="623">
        <f t="shared" si="4"/>
        <v>-61.83</v>
      </c>
      <c r="AZ32" s="623">
        <f t="shared" si="4"/>
        <v>-61.83</v>
      </c>
      <c r="BA32" s="623">
        <f t="shared" si="4"/>
        <v>-61.83</v>
      </c>
      <c r="BB32" s="623">
        <f t="shared" si="4"/>
        <v>-61.83</v>
      </c>
      <c r="BC32" s="623">
        <f t="shared" si="4"/>
        <v>-61.83</v>
      </c>
      <c r="BD32" s="623">
        <f t="shared" si="4"/>
        <v>-61.83</v>
      </c>
      <c r="BE32" s="623">
        <f t="shared" si="4"/>
        <v>-61.83</v>
      </c>
      <c r="BF32" s="623">
        <f t="shared" si="4"/>
        <v>-61.83</v>
      </c>
      <c r="BG32" s="623">
        <f t="shared" si="4"/>
        <v>-61.83</v>
      </c>
      <c r="BH32" s="623">
        <f t="shared" si="4"/>
        <v>-61.83</v>
      </c>
      <c r="BI32" s="623">
        <f t="shared" si="4"/>
        <v>-61.83</v>
      </c>
      <c r="BJ32" s="623">
        <f t="shared" si="4"/>
        <v>-61.83</v>
      </c>
      <c r="BK32" s="623">
        <f t="shared" si="4"/>
        <v>-61.83</v>
      </c>
      <c r="BL32" s="623">
        <f t="shared" si="4"/>
        <v>-61.83</v>
      </c>
      <c r="BM32" s="623">
        <f t="shared" si="4"/>
        <v>-61.83</v>
      </c>
      <c r="BN32" s="623">
        <f t="shared" si="4"/>
        <v>-61.83</v>
      </c>
      <c r="BO32" s="623">
        <f t="shared" si="4"/>
        <v>-61.83</v>
      </c>
      <c r="BP32" s="623">
        <f t="shared" si="4"/>
        <v>-61.83</v>
      </c>
      <c r="BQ32" s="623">
        <f t="shared" si="4"/>
        <v>-61.83</v>
      </c>
      <c r="BR32" s="623">
        <f t="shared" si="4"/>
        <v>-61.83</v>
      </c>
      <c r="BS32" s="623">
        <f t="shared" si="4"/>
        <v>-61.83</v>
      </c>
      <c r="BT32" s="623">
        <f t="shared" ref="BT32:CI32" si="5">SUM(BT33:BT38)</f>
        <v>-61.83</v>
      </c>
      <c r="BU32" s="623">
        <f t="shared" si="5"/>
        <v>-61.83</v>
      </c>
      <c r="BV32" s="623">
        <f t="shared" si="5"/>
        <v>-61.83</v>
      </c>
      <c r="BW32" s="623">
        <f t="shared" si="5"/>
        <v>-61.83</v>
      </c>
      <c r="BX32" s="623">
        <f t="shared" si="5"/>
        <v>-61.83</v>
      </c>
      <c r="BY32" s="623">
        <f t="shared" si="5"/>
        <v>-61.83</v>
      </c>
      <c r="BZ32" s="623">
        <f t="shared" si="5"/>
        <v>-61.83</v>
      </c>
      <c r="CA32" s="623">
        <f t="shared" si="5"/>
        <v>-61.83</v>
      </c>
      <c r="CB32" s="623">
        <f t="shared" si="5"/>
        <v>-61.83</v>
      </c>
      <c r="CC32" s="623">
        <f t="shared" si="5"/>
        <v>-61.83</v>
      </c>
      <c r="CD32" s="623">
        <f t="shared" si="5"/>
        <v>-61.83</v>
      </c>
      <c r="CE32" s="623">
        <f t="shared" si="5"/>
        <v>-61.83</v>
      </c>
      <c r="CF32" s="623">
        <f t="shared" si="5"/>
        <v>-61.83</v>
      </c>
      <c r="CG32" s="623">
        <f t="shared" si="5"/>
        <v>-61.83</v>
      </c>
      <c r="CH32" s="623">
        <f t="shared" si="5"/>
        <v>-61.83</v>
      </c>
      <c r="CI32" s="619">
        <f t="shared" si="5"/>
        <v>-61.83</v>
      </c>
      <c r="CJ32" s="1410"/>
      <c r="CK32" s="605"/>
    </row>
    <row r="33" spans="1:89" s="64" customFormat="1" x14ac:dyDescent="0.35">
      <c r="A33" s="58"/>
      <c r="B33" s="614" t="s">
        <v>324</v>
      </c>
      <c r="C33" s="617" t="s">
        <v>325</v>
      </c>
      <c r="D33" s="608" t="s">
        <v>82</v>
      </c>
      <c r="E33" s="609" t="s">
        <v>305</v>
      </c>
      <c r="F33" s="610">
        <v>2</v>
      </c>
      <c r="G33" s="611"/>
      <c r="H33" s="611"/>
      <c r="I33" s="611"/>
      <c r="J33" s="611"/>
      <c r="K33" s="611"/>
      <c r="L33" s="611"/>
      <c r="M33" s="615">
        <v>-0.89215266187048803</v>
      </c>
      <c r="N33" s="615">
        <v>-1.0400526618704899</v>
      </c>
      <c r="O33" s="615">
        <v>-1.1879526618704901</v>
      </c>
      <c r="P33" s="615">
        <v>-1.33585266187049</v>
      </c>
      <c r="Q33" s="615">
        <v>-1.4837526618704899</v>
      </c>
      <c r="R33" s="615">
        <v>-1.6316526618704901</v>
      </c>
      <c r="S33" s="615">
        <v>-1.77955266187049</v>
      </c>
      <c r="T33" s="615">
        <v>-1.9274526618704899</v>
      </c>
      <c r="U33" s="615">
        <v>-2.0753526618704901</v>
      </c>
      <c r="V33" s="615">
        <v>-2.22325266187049</v>
      </c>
      <c r="W33" s="615">
        <v>-2.3711526618704899</v>
      </c>
      <c r="X33" s="615">
        <v>-2.5190526618704898</v>
      </c>
      <c r="Y33" s="615">
        <v>-2.6669526618704902</v>
      </c>
      <c r="Z33" s="615">
        <v>-2.8148526618704901</v>
      </c>
      <c r="AA33" s="615">
        <v>-2.96275266187049</v>
      </c>
      <c r="AB33" s="615">
        <v>0</v>
      </c>
      <c r="AC33" s="615">
        <v>0</v>
      </c>
      <c r="AD33" s="615">
        <v>0</v>
      </c>
      <c r="AE33" s="615">
        <v>0</v>
      </c>
      <c r="AF33" s="615">
        <v>0</v>
      </c>
      <c r="AG33" s="615">
        <v>0</v>
      </c>
      <c r="AH33" s="615">
        <v>0</v>
      </c>
      <c r="AI33" s="615">
        <v>0</v>
      </c>
      <c r="AJ33" s="615">
        <v>0</v>
      </c>
      <c r="AK33" s="615">
        <v>0</v>
      </c>
      <c r="AL33" s="615">
        <v>0</v>
      </c>
      <c r="AM33" s="615">
        <v>0</v>
      </c>
      <c r="AN33" s="615">
        <v>0</v>
      </c>
      <c r="AO33" s="615">
        <v>0</v>
      </c>
      <c r="AP33" s="615">
        <v>0</v>
      </c>
      <c r="AQ33" s="615">
        <v>0</v>
      </c>
      <c r="AR33" s="615">
        <v>0</v>
      </c>
      <c r="AS33" s="615">
        <v>0</v>
      </c>
      <c r="AT33" s="615">
        <v>0</v>
      </c>
      <c r="AU33" s="615">
        <v>0</v>
      </c>
      <c r="AV33" s="615">
        <v>0</v>
      </c>
      <c r="AW33" s="615">
        <v>0</v>
      </c>
      <c r="AX33" s="615">
        <v>0</v>
      </c>
      <c r="AY33" s="615">
        <v>0</v>
      </c>
      <c r="AZ33" s="615">
        <v>0</v>
      </c>
      <c r="BA33" s="615">
        <v>0</v>
      </c>
      <c r="BB33" s="615">
        <v>0</v>
      </c>
      <c r="BC33" s="615">
        <v>0</v>
      </c>
      <c r="BD33" s="615">
        <v>0</v>
      </c>
      <c r="BE33" s="615">
        <v>0</v>
      </c>
      <c r="BF33" s="615">
        <v>0</v>
      </c>
      <c r="BG33" s="615">
        <v>0</v>
      </c>
      <c r="BH33" s="615">
        <v>0</v>
      </c>
      <c r="BI33" s="615">
        <v>0</v>
      </c>
      <c r="BJ33" s="615">
        <v>0</v>
      </c>
      <c r="BK33" s="615">
        <v>0</v>
      </c>
      <c r="BL33" s="615">
        <v>0</v>
      </c>
      <c r="BM33" s="615">
        <v>0</v>
      </c>
      <c r="BN33" s="615">
        <v>0</v>
      </c>
      <c r="BO33" s="615">
        <v>0</v>
      </c>
      <c r="BP33" s="615">
        <v>0</v>
      </c>
      <c r="BQ33" s="615">
        <v>0</v>
      </c>
      <c r="BR33" s="615">
        <v>0</v>
      </c>
      <c r="BS33" s="615">
        <v>0</v>
      </c>
      <c r="BT33" s="615">
        <v>0</v>
      </c>
      <c r="BU33" s="615">
        <v>0</v>
      </c>
      <c r="BV33" s="615">
        <v>0</v>
      </c>
      <c r="BW33" s="615">
        <v>0</v>
      </c>
      <c r="BX33" s="615">
        <v>0</v>
      </c>
      <c r="BY33" s="615">
        <v>0</v>
      </c>
      <c r="BZ33" s="615">
        <v>0</v>
      </c>
      <c r="CA33" s="615">
        <v>0</v>
      </c>
      <c r="CB33" s="615">
        <v>0</v>
      </c>
      <c r="CC33" s="615">
        <v>0</v>
      </c>
      <c r="CD33" s="615">
        <v>0</v>
      </c>
      <c r="CE33" s="615">
        <v>0</v>
      </c>
      <c r="CF33" s="615">
        <v>0</v>
      </c>
      <c r="CG33" s="615">
        <v>0</v>
      </c>
      <c r="CH33" s="615">
        <v>0</v>
      </c>
      <c r="CI33" s="615">
        <v>0</v>
      </c>
      <c r="CJ33" s="1410"/>
      <c r="CK33" s="605"/>
    </row>
    <row r="34" spans="1:89" s="64" customFormat="1" ht="28" x14ac:dyDescent="0.35">
      <c r="A34" s="58"/>
      <c r="B34" s="614" t="s">
        <v>326</v>
      </c>
      <c r="C34" s="617" t="s">
        <v>327</v>
      </c>
      <c r="D34" s="608" t="s">
        <v>82</v>
      </c>
      <c r="E34" s="609" t="s">
        <v>305</v>
      </c>
      <c r="F34" s="610">
        <v>2</v>
      </c>
      <c r="G34" s="611">
        <v>-6.12</v>
      </c>
      <c r="H34" s="611">
        <v>-6.12</v>
      </c>
      <c r="I34" s="611">
        <v>-6.12</v>
      </c>
      <c r="J34" s="611">
        <v>-6.12</v>
      </c>
      <c r="K34" s="611">
        <v>-6.12</v>
      </c>
      <c r="L34" s="611">
        <f>-6.12+-2</f>
        <v>-8.120000000000001</v>
      </c>
      <c r="M34" s="615">
        <f>-6.46+-2</f>
        <v>-8.4600000000000009</v>
      </c>
      <c r="N34" s="615">
        <f t="shared" ref="N34" si="6">-6.46+-2</f>
        <v>-8.4600000000000009</v>
      </c>
      <c r="O34" s="615">
        <f>-6.46+-2+-0.36</f>
        <v>-8.82</v>
      </c>
      <c r="P34" s="615">
        <f t="shared" ref="P34:Q34" si="7">-6.46+-2+-0.36</f>
        <v>-8.82</v>
      </c>
      <c r="Q34" s="615">
        <f t="shared" si="7"/>
        <v>-8.82</v>
      </c>
      <c r="R34" s="615">
        <f>-6.46+-20.37</f>
        <v>-26.830000000000002</v>
      </c>
      <c r="S34" s="615">
        <f t="shared" ref="S34:CD34" si="8">-6.46+-20.37</f>
        <v>-26.830000000000002</v>
      </c>
      <c r="T34" s="615">
        <f t="shared" si="8"/>
        <v>-26.830000000000002</v>
      </c>
      <c r="U34" s="615">
        <f t="shared" si="8"/>
        <v>-26.830000000000002</v>
      </c>
      <c r="V34" s="615">
        <f>-6.46+-20.37</f>
        <v>-26.830000000000002</v>
      </c>
      <c r="W34" s="615">
        <f t="shared" si="8"/>
        <v>-26.830000000000002</v>
      </c>
      <c r="X34" s="615">
        <f t="shared" si="8"/>
        <v>-26.830000000000002</v>
      </c>
      <c r="Y34" s="615">
        <f t="shared" si="8"/>
        <v>-26.830000000000002</v>
      </c>
      <c r="Z34" s="615">
        <f t="shared" si="8"/>
        <v>-26.830000000000002</v>
      </c>
      <c r="AA34" s="615">
        <f t="shared" si="8"/>
        <v>-26.830000000000002</v>
      </c>
      <c r="AB34" s="615">
        <f t="shared" si="8"/>
        <v>-26.830000000000002</v>
      </c>
      <c r="AC34" s="615">
        <f t="shared" si="8"/>
        <v>-26.830000000000002</v>
      </c>
      <c r="AD34" s="615">
        <f t="shared" si="8"/>
        <v>-26.830000000000002</v>
      </c>
      <c r="AE34" s="615">
        <f t="shared" si="8"/>
        <v>-26.830000000000002</v>
      </c>
      <c r="AF34" s="615">
        <f t="shared" si="8"/>
        <v>-26.830000000000002</v>
      </c>
      <c r="AG34" s="615">
        <f t="shared" si="8"/>
        <v>-26.830000000000002</v>
      </c>
      <c r="AH34" s="615">
        <f t="shared" si="8"/>
        <v>-26.830000000000002</v>
      </c>
      <c r="AI34" s="615">
        <f t="shared" si="8"/>
        <v>-26.830000000000002</v>
      </c>
      <c r="AJ34" s="615">
        <f t="shared" si="8"/>
        <v>-26.830000000000002</v>
      </c>
      <c r="AK34" s="615">
        <f t="shared" si="8"/>
        <v>-26.830000000000002</v>
      </c>
      <c r="AL34" s="615">
        <f t="shared" si="8"/>
        <v>-26.830000000000002</v>
      </c>
      <c r="AM34" s="615">
        <f t="shared" si="8"/>
        <v>-26.830000000000002</v>
      </c>
      <c r="AN34" s="615">
        <f t="shared" si="8"/>
        <v>-26.830000000000002</v>
      </c>
      <c r="AO34" s="615">
        <f t="shared" si="8"/>
        <v>-26.830000000000002</v>
      </c>
      <c r="AP34" s="615">
        <f t="shared" si="8"/>
        <v>-26.830000000000002</v>
      </c>
      <c r="AQ34" s="615">
        <f t="shared" si="8"/>
        <v>-26.830000000000002</v>
      </c>
      <c r="AR34" s="615">
        <f t="shared" si="8"/>
        <v>-26.830000000000002</v>
      </c>
      <c r="AS34" s="615">
        <f t="shared" si="8"/>
        <v>-26.830000000000002</v>
      </c>
      <c r="AT34" s="615">
        <f t="shared" si="8"/>
        <v>-26.830000000000002</v>
      </c>
      <c r="AU34" s="615">
        <f t="shared" si="8"/>
        <v>-26.830000000000002</v>
      </c>
      <c r="AV34" s="615">
        <f t="shared" si="8"/>
        <v>-26.830000000000002</v>
      </c>
      <c r="AW34" s="615">
        <f t="shared" si="8"/>
        <v>-26.830000000000002</v>
      </c>
      <c r="AX34" s="615">
        <f t="shared" si="8"/>
        <v>-26.830000000000002</v>
      </c>
      <c r="AY34" s="615">
        <f t="shared" si="8"/>
        <v>-26.830000000000002</v>
      </c>
      <c r="AZ34" s="615">
        <f t="shared" si="8"/>
        <v>-26.830000000000002</v>
      </c>
      <c r="BA34" s="615">
        <f t="shared" si="8"/>
        <v>-26.830000000000002</v>
      </c>
      <c r="BB34" s="615">
        <f t="shared" si="8"/>
        <v>-26.830000000000002</v>
      </c>
      <c r="BC34" s="615">
        <f t="shared" si="8"/>
        <v>-26.830000000000002</v>
      </c>
      <c r="BD34" s="615">
        <f t="shared" si="8"/>
        <v>-26.830000000000002</v>
      </c>
      <c r="BE34" s="615">
        <f t="shared" si="8"/>
        <v>-26.830000000000002</v>
      </c>
      <c r="BF34" s="615">
        <f t="shared" si="8"/>
        <v>-26.830000000000002</v>
      </c>
      <c r="BG34" s="615">
        <f t="shared" si="8"/>
        <v>-26.830000000000002</v>
      </c>
      <c r="BH34" s="615">
        <f t="shared" si="8"/>
        <v>-26.830000000000002</v>
      </c>
      <c r="BI34" s="615">
        <f t="shared" si="8"/>
        <v>-26.830000000000002</v>
      </c>
      <c r="BJ34" s="615">
        <f t="shared" si="8"/>
        <v>-26.830000000000002</v>
      </c>
      <c r="BK34" s="615">
        <f t="shared" si="8"/>
        <v>-26.830000000000002</v>
      </c>
      <c r="BL34" s="615">
        <f t="shared" si="8"/>
        <v>-26.830000000000002</v>
      </c>
      <c r="BM34" s="615">
        <f t="shared" si="8"/>
        <v>-26.830000000000002</v>
      </c>
      <c r="BN34" s="615">
        <f t="shared" si="8"/>
        <v>-26.830000000000002</v>
      </c>
      <c r="BO34" s="615">
        <f t="shared" si="8"/>
        <v>-26.830000000000002</v>
      </c>
      <c r="BP34" s="615">
        <f t="shared" si="8"/>
        <v>-26.830000000000002</v>
      </c>
      <c r="BQ34" s="615">
        <f t="shared" si="8"/>
        <v>-26.830000000000002</v>
      </c>
      <c r="BR34" s="615">
        <f t="shared" si="8"/>
        <v>-26.830000000000002</v>
      </c>
      <c r="BS34" s="615">
        <f t="shared" si="8"/>
        <v>-26.830000000000002</v>
      </c>
      <c r="BT34" s="615">
        <f t="shared" si="8"/>
        <v>-26.830000000000002</v>
      </c>
      <c r="BU34" s="615">
        <f t="shared" si="8"/>
        <v>-26.830000000000002</v>
      </c>
      <c r="BV34" s="615">
        <f t="shared" si="8"/>
        <v>-26.830000000000002</v>
      </c>
      <c r="BW34" s="615">
        <f t="shared" si="8"/>
        <v>-26.830000000000002</v>
      </c>
      <c r="BX34" s="615">
        <f t="shared" si="8"/>
        <v>-26.830000000000002</v>
      </c>
      <c r="BY34" s="615">
        <f t="shared" si="8"/>
        <v>-26.830000000000002</v>
      </c>
      <c r="BZ34" s="615">
        <f t="shared" si="8"/>
        <v>-26.830000000000002</v>
      </c>
      <c r="CA34" s="615">
        <f t="shared" si="8"/>
        <v>-26.830000000000002</v>
      </c>
      <c r="CB34" s="615">
        <f t="shared" si="8"/>
        <v>-26.830000000000002</v>
      </c>
      <c r="CC34" s="615">
        <f t="shared" si="8"/>
        <v>-26.830000000000002</v>
      </c>
      <c r="CD34" s="615">
        <f t="shared" si="8"/>
        <v>-26.830000000000002</v>
      </c>
      <c r="CE34" s="615">
        <f t="shared" ref="CE34:CI34" si="9">-6.46+-20.37</f>
        <v>-26.830000000000002</v>
      </c>
      <c r="CF34" s="615">
        <f t="shared" si="9"/>
        <v>-26.830000000000002</v>
      </c>
      <c r="CG34" s="615">
        <f t="shared" si="9"/>
        <v>-26.830000000000002</v>
      </c>
      <c r="CH34" s="615">
        <f t="shared" si="9"/>
        <v>-26.830000000000002</v>
      </c>
      <c r="CI34" s="615">
        <f t="shared" si="9"/>
        <v>-26.830000000000002</v>
      </c>
      <c r="CJ34" s="1410"/>
      <c r="CK34" s="605"/>
    </row>
    <row r="35" spans="1:89" s="64" customFormat="1" ht="42" x14ac:dyDescent="0.35">
      <c r="A35" s="58"/>
      <c r="B35" s="614" t="s">
        <v>328</v>
      </c>
      <c r="C35" s="617" t="s">
        <v>329</v>
      </c>
      <c r="D35" s="608" t="s">
        <v>82</v>
      </c>
      <c r="E35" s="609" t="s">
        <v>305</v>
      </c>
      <c r="F35" s="610">
        <v>2</v>
      </c>
      <c r="G35" s="611"/>
      <c r="H35" s="611"/>
      <c r="I35" s="611"/>
      <c r="J35" s="611"/>
      <c r="K35" s="611"/>
      <c r="L35" s="611"/>
      <c r="M35" s="615"/>
      <c r="N35" s="615"/>
      <c r="O35" s="615"/>
      <c r="P35" s="615"/>
      <c r="Q35" s="615"/>
      <c r="R35" s="615"/>
      <c r="S35" s="615"/>
      <c r="T35" s="615"/>
      <c r="U35" s="615"/>
      <c r="V35" s="615"/>
      <c r="W35" s="615"/>
      <c r="X35" s="615"/>
      <c r="Y35" s="615"/>
      <c r="Z35" s="615"/>
      <c r="AA35" s="615"/>
      <c r="AB35" s="615">
        <v>-35</v>
      </c>
      <c r="AC35" s="615">
        <v>-35</v>
      </c>
      <c r="AD35" s="615">
        <v>-35</v>
      </c>
      <c r="AE35" s="615">
        <v>-35</v>
      </c>
      <c r="AF35" s="615">
        <v>-35</v>
      </c>
      <c r="AG35" s="615">
        <v>-35</v>
      </c>
      <c r="AH35" s="615">
        <v>-35</v>
      </c>
      <c r="AI35" s="615">
        <v>-35</v>
      </c>
      <c r="AJ35" s="615">
        <v>-35</v>
      </c>
      <c r="AK35" s="615">
        <v>-35</v>
      </c>
      <c r="AL35" s="615">
        <v>-35</v>
      </c>
      <c r="AM35" s="615">
        <v>-35</v>
      </c>
      <c r="AN35" s="615">
        <v>-35</v>
      </c>
      <c r="AO35" s="615">
        <v>-35</v>
      </c>
      <c r="AP35" s="615">
        <v>-35</v>
      </c>
      <c r="AQ35" s="615">
        <v>-35</v>
      </c>
      <c r="AR35" s="615">
        <v>-35</v>
      </c>
      <c r="AS35" s="615">
        <v>-35</v>
      </c>
      <c r="AT35" s="615">
        <v>-35</v>
      </c>
      <c r="AU35" s="615">
        <v>-35</v>
      </c>
      <c r="AV35" s="615">
        <v>-35</v>
      </c>
      <c r="AW35" s="615">
        <v>-35</v>
      </c>
      <c r="AX35" s="615">
        <v>-35</v>
      </c>
      <c r="AY35" s="615">
        <v>-35</v>
      </c>
      <c r="AZ35" s="615">
        <v>-35</v>
      </c>
      <c r="BA35" s="615">
        <v>-35</v>
      </c>
      <c r="BB35" s="615">
        <v>-35</v>
      </c>
      <c r="BC35" s="615">
        <v>-35</v>
      </c>
      <c r="BD35" s="615">
        <v>-35</v>
      </c>
      <c r="BE35" s="615">
        <v>-35</v>
      </c>
      <c r="BF35" s="615">
        <v>-35</v>
      </c>
      <c r="BG35" s="615">
        <v>-35</v>
      </c>
      <c r="BH35" s="615">
        <v>-35</v>
      </c>
      <c r="BI35" s="615">
        <v>-35</v>
      </c>
      <c r="BJ35" s="615">
        <v>-35</v>
      </c>
      <c r="BK35" s="615">
        <v>-35</v>
      </c>
      <c r="BL35" s="615">
        <v>-35</v>
      </c>
      <c r="BM35" s="615">
        <v>-35</v>
      </c>
      <c r="BN35" s="615">
        <v>-35</v>
      </c>
      <c r="BO35" s="615">
        <v>-35</v>
      </c>
      <c r="BP35" s="615">
        <v>-35</v>
      </c>
      <c r="BQ35" s="615">
        <v>-35</v>
      </c>
      <c r="BR35" s="615">
        <v>-35</v>
      </c>
      <c r="BS35" s="615">
        <v>-35</v>
      </c>
      <c r="BT35" s="615">
        <v>-35</v>
      </c>
      <c r="BU35" s="615">
        <v>-35</v>
      </c>
      <c r="BV35" s="615">
        <v>-35</v>
      </c>
      <c r="BW35" s="615">
        <v>-35</v>
      </c>
      <c r="BX35" s="615">
        <v>-35</v>
      </c>
      <c r="BY35" s="615">
        <v>-35</v>
      </c>
      <c r="BZ35" s="615">
        <v>-35</v>
      </c>
      <c r="CA35" s="615">
        <v>-35</v>
      </c>
      <c r="CB35" s="615">
        <v>-35</v>
      </c>
      <c r="CC35" s="615">
        <v>-35</v>
      </c>
      <c r="CD35" s="615">
        <v>-35</v>
      </c>
      <c r="CE35" s="615">
        <v>-35</v>
      </c>
      <c r="CF35" s="615">
        <v>-35</v>
      </c>
      <c r="CG35" s="615">
        <v>-35</v>
      </c>
      <c r="CH35" s="615">
        <v>-35</v>
      </c>
      <c r="CI35" s="615">
        <v>-35</v>
      </c>
      <c r="CJ35" s="1410"/>
      <c r="CK35" s="605"/>
    </row>
    <row r="36" spans="1:89" s="64" customFormat="1" ht="28" x14ac:dyDescent="0.35">
      <c r="A36" s="58"/>
      <c r="B36" s="614" t="s">
        <v>330</v>
      </c>
      <c r="C36" s="617" t="s">
        <v>331</v>
      </c>
      <c r="D36" s="608" t="s">
        <v>82</v>
      </c>
      <c r="E36" s="609" t="s">
        <v>305</v>
      </c>
      <c r="F36" s="610">
        <v>2</v>
      </c>
      <c r="G36" s="611"/>
      <c r="H36" s="611"/>
      <c r="I36" s="611"/>
      <c r="J36" s="611"/>
      <c r="K36" s="611"/>
      <c r="L36" s="611"/>
      <c r="M36" s="615"/>
      <c r="N36" s="615"/>
      <c r="O36" s="615"/>
      <c r="P36" s="615"/>
      <c r="Q36" s="615"/>
      <c r="R36" s="615"/>
      <c r="S36" s="615"/>
      <c r="T36" s="615"/>
      <c r="U36" s="615"/>
      <c r="V36" s="615"/>
      <c r="W36" s="615"/>
      <c r="X36" s="615"/>
      <c r="Y36" s="615"/>
      <c r="Z36" s="615"/>
      <c r="AA36" s="615"/>
      <c r="AB36" s="615"/>
      <c r="AC36" s="615"/>
      <c r="AD36" s="615"/>
      <c r="AE36" s="615"/>
      <c r="AF36" s="615"/>
      <c r="AG36" s="615"/>
      <c r="AH36" s="615"/>
      <c r="AI36" s="615"/>
      <c r="AJ36" s="615"/>
      <c r="AK36" s="615"/>
      <c r="AL36" s="615"/>
      <c r="AM36" s="615"/>
      <c r="AN36" s="615"/>
      <c r="AO36" s="615"/>
      <c r="AP36" s="615"/>
      <c r="AQ36" s="615"/>
      <c r="AR36" s="615"/>
      <c r="AS36" s="615"/>
      <c r="AT36" s="615"/>
      <c r="AU36" s="615"/>
      <c r="AV36" s="615"/>
      <c r="AW36" s="615"/>
      <c r="AX36" s="615"/>
      <c r="AY36" s="615"/>
      <c r="AZ36" s="615"/>
      <c r="BA36" s="615"/>
      <c r="BB36" s="615"/>
      <c r="BC36" s="615"/>
      <c r="BD36" s="615"/>
      <c r="BE36" s="615"/>
      <c r="BF36" s="615"/>
      <c r="BG36" s="615"/>
      <c r="BH36" s="615"/>
      <c r="BI36" s="615"/>
      <c r="BJ36" s="615"/>
      <c r="BK36" s="615"/>
      <c r="BL36" s="615"/>
      <c r="BM36" s="615"/>
      <c r="BN36" s="615"/>
      <c r="BO36" s="615"/>
      <c r="BP36" s="615"/>
      <c r="BQ36" s="615"/>
      <c r="BR36" s="615"/>
      <c r="BS36" s="615"/>
      <c r="BT36" s="615"/>
      <c r="BU36" s="615"/>
      <c r="BV36" s="615"/>
      <c r="BW36" s="615"/>
      <c r="BX36" s="615"/>
      <c r="BY36" s="615"/>
      <c r="BZ36" s="615"/>
      <c r="CA36" s="615"/>
      <c r="CB36" s="615"/>
      <c r="CC36" s="615"/>
      <c r="CD36" s="615"/>
      <c r="CE36" s="615"/>
      <c r="CF36" s="615"/>
      <c r="CG36" s="615"/>
      <c r="CH36" s="615"/>
      <c r="CI36" s="616"/>
      <c r="CJ36" s="1410"/>
      <c r="CK36" s="605"/>
    </row>
    <row r="37" spans="1:89" s="64" customFormat="1" x14ac:dyDescent="0.35">
      <c r="A37" s="58"/>
      <c r="B37" s="614" t="s">
        <v>332</v>
      </c>
      <c r="C37" s="617" t="s">
        <v>333</v>
      </c>
      <c r="D37" s="608" t="s">
        <v>334</v>
      </c>
      <c r="E37" s="609" t="s">
        <v>305</v>
      </c>
      <c r="F37" s="610">
        <v>2</v>
      </c>
      <c r="G37" s="611">
        <v>0</v>
      </c>
      <c r="H37" s="611">
        <v>0</v>
      </c>
      <c r="I37" s="611">
        <v>0</v>
      </c>
      <c r="J37" s="611">
        <v>0</v>
      </c>
      <c r="K37" s="611">
        <v>0</v>
      </c>
      <c r="L37" s="611">
        <v>0</v>
      </c>
      <c r="M37" s="624">
        <v>0</v>
      </c>
      <c r="N37" s="624">
        <v>0</v>
      </c>
      <c r="O37" s="624">
        <v>0</v>
      </c>
      <c r="P37" s="624">
        <v>0</v>
      </c>
      <c r="Q37" s="624">
        <v>0</v>
      </c>
      <c r="R37" s="624">
        <v>0</v>
      </c>
      <c r="S37" s="624">
        <v>0</v>
      </c>
      <c r="T37" s="624">
        <v>0</v>
      </c>
      <c r="U37" s="624">
        <v>0</v>
      </c>
      <c r="V37" s="624">
        <v>0</v>
      </c>
      <c r="W37" s="624">
        <v>0</v>
      </c>
      <c r="X37" s="624">
        <v>0</v>
      </c>
      <c r="Y37" s="624">
        <v>0</v>
      </c>
      <c r="Z37" s="624">
        <v>0</v>
      </c>
      <c r="AA37" s="624">
        <v>0</v>
      </c>
      <c r="AB37" s="624">
        <v>0</v>
      </c>
      <c r="AC37" s="624">
        <v>0</v>
      </c>
      <c r="AD37" s="624">
        <v>0</v>
      </c>
      <c r="AE37" s="624">
        <v>0</v>
      </c>
      <c r="AF37" s="624">
        <v>0</v>
      </c>
      <c r="AG37" s="624">
        <v>0</v>
      </c>
      <c r="AH37" s="624">
        <v>0</v>
      </c>
      <c r="AI37" s="624">
        <v>0</v>
      </c>
      <c r="AJ37" s="624">
        <v>0</v>
      </c>
      <c r="AK37" s="624">
        <v>0</v>
      </c>
      <c r="AL37" s="624">
        <v>0</v>
      </c>
      <c r="AM37" s="624">
        <v>0</v>
      </c>
      <c r="AN37" s="624">
        <v>0</v>
      </c>
      <c r="AO37" s="624">
        <v>0</v>
      </c>
      <c r="AP37" s="624">
        <v>0</v>
      </c>
      <c r="AQ37" s="624">
        <v>0</v>
      </c>
      <c r="AR37" s="624">
        <v>0</v>
      </c>
      <c r="AS37" s="624">
        <v>0</v>
      </c>
      <c r="AT37" s="624">
        <v>0</v>
      </c>
      <c r="AU37" s="624">
        <v>0</v>
      </c>
      <c r="AV37" s="624">
        <v>0</v>
      </c>
      <c r="AW37" s="624">
        <v>0</v>
      </c>
      <c r="AX37" s="624">
        <v>0</v>
      </c>
      <c r="AY37" s="624">
        <v>0</v>
      </c>
      <c r="AZ37" s="624">
        <v>0</v>
      </c>
      <c r="BA37" s="624">
        <v>0</v>
      </c>
      <c r="BB37" s="624">
        <v>0</v>
      </c>
      <c r="BC37" s="624">
        <v>0</v>
      </c>
      <c r="BD37" s="624">
        <v>0</v>
      </c>
      <c r="BE37" s="624">
        <v>0</v>
      </c>
      <c r="BF37" s="624">
        <v>0</v>
      </c>
      <c r="BG37" s="624">
        <v>0</v>
      </c>
      <c r="BH37" s="624">
        <v>0</v>
      </c>
      <c r="BI37" s="624">
        <v>0</v>
      </c>
      <c r="BJ37" s="624">
        <v>0</v>
      </c>
      <c r="BK37" s="624">
        <v>0</v>
      </c>
      <c r="BL37" s="624">
        <v>0</v>
      </c>
      <c r="BM37" s="624">
        <v>0</v>
      </c>
      <c r="BN37" s="624">
        <v>0</v>
      </c>
      <c r="BO37" s="624">
        <v>0</v>
      </c>
      <c r="BP37" s="624">
        <v>0</v>
      </c>
      <c r="BQ37" s="624">
        <v>0</v>
      </c>
      <c r="BR37" s="624">
        <v>0</v>
      </c>
      <c r="BS37" s="624">
        <v>0</v>
      </c>
      <c r="BT37" s="624">
        <v>0</v>
      </c>
      <c r="BU37" s="624">
        <v>0</v>
      </c>
      <c r="BV37" s="624">
        <v>0</v>
      </c>
      <c r="BW37" s="624">
        <v>0</v>
      </c>
      <c r="BX37" s="624">
        <v>0</v>
      </c>
      <c r="BY37" s="624">
        <v>0</v>
      </c>
      <c r="BZ37" s="624">
        <v>0</v>
      </c>
      <c r="CA37" s="624">
        <v>0</v>
      </c>
      <c r="CB37" s="624">
        <v>0</v>
      </c>
      <c r="CC37" s="624">
        <v>0</v>
      </c>
      <c r="CD37" s="624">
        <v>0</v>
      </c>
      <c r="CE37" s="624">
        <v>0</v>
      </c>
      <c r="CF37" s="624">
        <v>0</v>
      </c>
      <c r="CG37" s="624">
        <v>0</v>
      </c>
      <c r="CH37" s="624">
        <v>0</v>
      </c>
      <c r="CI37" s="625">
        <v>0</v>
      </c>
      <c r="CJ37" s="1410"/>
      <c r="CK37" s="605"/>
    </row>
    <row r="38" spans="1:89" s="64" customFormat="1" ht="28" x14ac:dyDescent="0.35">
      <c r="A38" s="58"/>
      <c r="B38" s="614" t="s">
        <v>335</v>
      </c>
      <c r="C38" s="617" t="s">
        <v>336</v>
      </c>
      <c r="D38" s="608" t="s">
        <v>82</v>
      </c>
      <c r="E38" s="609" t="s">
        <v>305</v>
      </c>
      <c r="F38" s="610">
        <v>2</v>
      </c>
      <c r="G38" s="611"/>
      <c r="H38" s="611"/>
      <c r="I38" s="611"/>
      <c r="J38" s="611"/>
      <c r="K38" s="611"/>
      <c r="L38" s="611"/>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L38" s="615"/>
      <c r="AM38" s="615"/>
      <c r="AN38" s="615"/>
      <c r="AO38" s="615"/>
      <c r="AP38" s="615"/>
      <c r="AQ38" s="615"/>
      <c r="AR38" s="615"/>
      <c r="AS38" s="615"/>
      <c r="AT38" s="615"/>
      <c r="AU38" s="615"/>
      <c r="AV38" s="615"/>
      <c r="AW38" s="615"/>
      <c r="AX38" s="615"/>
      <c r="AY38" s="615"/>
      <c r="AZ38" s="615"/>
      <c r="BA38" s="615"/>
      <c r="BB38" s="615"/>
      <c r="BC38" s="615"/>
      <c r="BD38" s="615"/>
      <c r="BE38" s="615"/>
      <c r="BF38" s="615"/>
      <c r="BG38" s="615"/>
      <c r="BH38" s="615"/>
      <c r="BI38" s="615"/>
      <c r="BJ38" s="615"/>
      <c r="BK38" s="615"/>
      <c r="BL38" s="615"/>
      <c r="BM38" s="615"/>
      <c r="BN38" s="615"/>
      <c r="BO38" s="615"/>
      <c r="BP38" s="615"/>
      <c r="BQ38" s="615"/>
      <c r="BR38" s="615"/>
      <c r="BS38" s="615"/>
      <c r="BT38" s="615"/>
      <c r="BU38" s="615"/>
      <c r="BV38" s="615"/>
      <c r="BW38" s="615"/>
      <c r="BX38" s="615"/>
      <c r="BY38" s="615"/>
      <c r="BZ38" s="615"/>
      <c r="CA38" s="615"/>
      <c r="CB38" s="615"/>
      <c r="CC38" s="615"/>
      <c r="CD38" s="615"/>
      <c r="CE38" s="615"/>
      <c r="CF38" s="615"/>
      <c r="CG38" s="615"/>
      <c r="CH38" s="615"/>
      <c r="CI38" s="616"/>
      <c r="CJ38" s="1410"/>
      <c r="CK38" s="605"/>
    </row>
    <row r="39" spans="1:89" s="64" customFormat="1" ht="28" x14ac:dyDescent="0.35">
      <c r="A39" s="58"/>
      <c r="B39" s="614" t="s">
        <v>337</v>
      </c>
      <c r="C39" s="617" t="s">
        <v>338</v>
      </c>
      <c r="D39" s="608" t="s">
        <v>82</v>
      </c>
      <c r="E39" s="609" t="s">
        <v>305</v>
      </c>
      <c r="F39" s="610">
        <v>2</v>
      </c>
      <c r="G39" s="611">
        <v>0.16</v>
      </c>
      <c r="H39" s="611">
        <v>0.16</v>
      </c>
      <c r="I39" s="611">
        <v>0.16</v>
      </c>
      <c r="J39" s="611">
        <v>0.16</v>
      </c>
      <c r="K39" s="611">
        <v>0.16</v>
      </c>
      <c r="L39" s="611">
        <v>0.16</v>
      </c>
      <c r="M39" s="615">
        <v>0.16</v>
      </c>
      <c r="N39" s="615">
        <v>0.16</v>
      </c>
      <c r="O39" s="615">
        <v>0.16</v>
      </c>
      <c r="P39" s="615">
        <v>0.16</v>
      </c>
      <c r="Q39" s="615">
        <v>0.16</v>
      </c>
      <c r="R39" s="615">
        <v>0.16</v>
      </c>
      <c r="S39" s="615">
        <v>0.16</v>
      </c>
      <c r="T39" s="615">
        <v>0.16</v>
      </c>
      <c r="U39" s="615">
        <v>0.16</v>
      </c>
      <c r="V39" s="615">
        <v>0.16</v>
      </c>
      <c r="W39" s="615">
        <v>0.16</v>
      </c>
      <c r="X39" s="615">
        <v>0.16</v>
      </c>
      <c r="Y39" s="615">
        <v>0.16</v>
      </c>
      <c r="Z39" s="615">
        <v>0.16</v>
      </c>
      <c r="AA39" s="615">
        <v>0.16</v>
      </c>
      <c r="AB39" s="615">
        <v>0.16</v>
      </c>
      <c r="AC39" s="615">
        <v>0.16</v>
      </c>
      <c r="AD39" s="615">
        <v>0.16</v>
      </c>
      <c r="AE39" s="615">
        <v>0.16</v>
      </c>
      <c r="AF39" s="615">
        <v>0.16</v>
      </c>
      <c r="AG39" s="615">
        <v>0.16</v>
      </c>
      <c r="AH39" s="615">
        <v>0.16</v>
      </c>
      <c r="AI39" s="615">
        <v>0.16</v>
      </c>
      <c r="AJ39" s="615">
        <v>0.16</v>
      </c>
      <c r="AK39" s="615">
        <v>0.16</v>
      </c>
      <c r="AL39" s="615">
        <v>0.16</v>
      </c>
      <c r="AM39" s="615">
        <v>0.16</v>
      </c>
      <c r="AN39" s="615">
        <v>0.16</v>
      </c>
      <c r="AO39" s="615">
        <v>0.16</v>
      </c>
      <c r="AP39" s="615">
        <v>0.16</v>
      </c>
      <c r="AQ39" s="615">
        <v>0.16</v>
      </c>
      <c r="AR39" s="615">
        <v>0.16</v>
      </c>
      <c r="AS39" s="615">
        <v>0.16</v>
      </c>
      <c r="AT39" s="615">
        <v>0.16</v>
      </c>
      <c r="AU39" s="615">
        <v>0.16</v>
      </c>
      <c r="AV39" s="615">
        <v>0.16</v>
      </c>
      <c r="AW39" s="615">
        <v>0.16</v>
      </c>
      <c r="AX39" s="615">
        <v>0.16</v>
      </c>
      <c r="AY39" s="615">
        <v>0.16</v>
      </c>
      <c r="AZ39" s="615">
        <v>0.16</v>
      </c>
      <c r="BA39" s="615">
        <v>0.16</v>
      </c>
      <c r="BB39" s="615">
        <v>0.16</v>
      </c>
      <c r="BC39" s="615">
        <v>0.16</v>
      </c>
      <c r="BD39" s="615">
        <v>0.16</v>
      </c>
      <c r="BE39" s="615">
        <v>0.16</v>
      </c>
      <c r="BF39" s="615">
        <v>0.16</v>
      </c>
      <c r="BG39" s="615">
        <v>0.16</v>
      </c>
      <c r="BH39" s="615">
        <v>0.16</v>
      </c>
      <c r="BI39" s="615">
        <v>0.16</v>
      </c>
      <c r="BJ39" s="615">
        <v>0.16</v>
      </c>
      <c r="BK39" s="615">
        <v>0.16</v>
      </c>
      <c r="BL39" s="615">
        <v>0.16</v>
      </c>
      <c r="BM39" s="615">
        <v>0.16</v>
      </c>
      <c r="BN39" s="615">
        <v>0.16</v>
      </c>
      <c r="BO39" s="615">
        <v>0.16</v>
      </c>
      <c r="BP39" s="615">
        <v>0.16</v>
      </c>
      <c r="BQ39" s="615">
        <v>0.16</v>
      </c>
      <c r="BR39" s="615">
        <v>0.16</v>
      </c>
      <c r="BS39" s="615">
        <v>0.16</v>
      </c>
      <c r="BT39" s="615">
        <v>0.16</v>
      </c>
      <c r="BU39" s="615">
        <v>0.16</v>
      </c>
      <c r="BV39" s="615">
        <v>0.16</v>
      </c>
      <c r="BW39" s="615">
        <v>0.16</v>
      </c>
      <c r="BX39" s="615">
        <v>0.16</v>
      </c>
      <c r="BY39" s="615">
        <v>0.16</v>
      </c>
      <c r="BZ39" s="615">
        <v>0.16</v>
      </c>
      <c r="CA39" s="615">
        <v>0.16</v>
      </c>
      <c r="CB39" s="615">
        <v>0.16</v>
      </c>
      <c r="CC39" s="615">
        <v>0.16</v>
      </c>
      <c r="CD39" s="615">
        <v>0.16</v>
      </c>
      <c r="CE39" s="615">
        <v>0.16</v>
      </c>
      <c r="CF39" s="615">
        <v>0.16</v>
      </c>
      <c r="CG39" s="615">
        <v>0.16</v>
      </c>
      <c r="CH39" s="615">
        <v>0.16</v>
      </c>
      <c r="CI39" s="616">
        <v>0.16</v>
      </c>
      <c r="CJ39" s="1410"/>
      <c r="CK39" s="605"/>
    </row>
    <row r="40" spans="1:89" s="64" customFormat="1" x14ac:dyDescent="0.35">
      <c r="A40" s="58"/>
      <c r="B40" s="614" t="s">
        <v>339</v>
      </c>
      <c r="C40" s="617" t="s">
        <v>340</v>
      </c>
      <c r="D40" s="608" t="s">
        <v>82</v>
      </c>
      <c r="E40" s="609" t="s">
        <v>305</v>
      </c>
      <c r="F40" s="610">
        <v>2</v>
      </c>
      <c r="G40" s="611">
        <v>4.8</v>
      </c>
      <c r="H40" s="611">
        <v>4.8</v>
      </c>
      <c r="I40" s="611">
        <v>4.8</v>
      </c>
      <c r="J40" s="611">
        <v>4.8</v>
      </c>
      <c r="K40" s="611">
        <v>4.8</v>
      </c>
      <c r="L40" s="611">
        <v>4.8</v>
      </c>
      <c r="M40" s="615">
        <v>4.9000000000000004</v>
      </c>
      <c r="N40" s="615">
        <v>4.9000000000000004</v>
      </c>
      <c r="O40" s="615">
        <v>4.9000000000000004</v>
      </c>
      <c r="P40" s="615">
        <v>4.9000000000000004</v>
      </c>
      <c r="Q40" s="615">
        <v>4.9000000000000004</v>
      </c>
      <c r="R40" s="615">
        <v>4.9000000000000004</v>
      </c>
      <c r="S40" s="615">
        <v>4.9000000000000004</v>
      </c>
      <c r="T40" s="615">
        <v>4.9000000000000004</v>
      </c>
      <c r="U40" s="615">
        <v>4.9000000000000004</v>
      </c>
      <c r="V40" s="615">
        <v>4.9000000000000004</v>
      </c>
      <c r="W40" s="615">
        <v>4.9000000000000004</v>
      </c>
      <c r="X40" s="615">
        <v>4.9000000000000004</v>
      </c>
      <c r="Y40" s="615">
        <v>4.9000000000000004</v>
      </c>
      <c r="Z40" s="615">
        <v>4.9000000000000004</v>
      </c>
      <c r="AA40" s="615">
        <v>4.9000000000000004</v>
      </c>
      <c r="AB40" s="615">
        <v>4.9000000000000004</v>
      </c>
      <c r="AC40" s="615">
        <v>4.9000000000000004</v>
      </c>
      <c r="AD40" s="615">
        <v>4.9000000000000004</v>
      </c>
      <c r="AE40" s="615">
        <v>4.9000000000000004</v>
      </c>
      <c r="AF40" s="615">
        <v>4.9000000000000004</v>
      </c>
      <c r="AG40" s="615">
        <v>4.9000000000000004</v>
      </c>
      <c r="AH40" s="615">
        <v>4.9000000000000004</v>
      </c>
      <c r="AI40" s="615">
        <v>4.9000000000000004</v>
      </c>
      <c r="AJ40" s="615">
        <v>4.9000000000000004</v>
      </c>
      <c r="AK40" s="615">
        <v>4.9000000000000004</v>
      </c>
      <c r="AL40" s="615">
        <v>4.9000000000000004</v>
      </c>
      <c r="AM40" s="615">
        <v>4.9000000000000004</v>
      </c>
      <c r="AN40" s="615">
        <v>4.9000000000000004</v>
      </c>
      <c r="AO40" s="615">
        <v>4.9000000000000004</v>
      </c>
      <c r="AP40" s="615">
        <v>4.9000000000000004</v>
      </c>
      <c r="AQ40" s="615">
        <v>4.9000000000000004</v>
      </c>
      <c r="AR40" s="615">
        <v>4.9000000000000004</v>
      </c>
      <c r="AS40" s="615">
        <v>4.9000000000000004</v>
      </c>
      <c r="AT40" s="615">
        <v>4.9000000000000004</v>
      </c>
      <c r="AU40" s="615">
        <v>4.9000000000000004</v>
      </c>
      <c r="AV40" s="615">
        <v>4.9000000000000004</v>
      </c>
      <c r="AW40" s="615">
        <v>4.9000000000000004</v>
      </c>
      <c r="AX40" s="615">
        <v>4.9000000000000004</v>
      </c>
      <c r="AY40" s="615">
        <v>4.9000000000000004</v>
      </c>
      <c r="AZ40" s="615">
        <v>4.9000000000000004</v>
      </c>
      <c r="BA40" s="615">
        <v>4.9000000000000004</v>
      </c>
      <c r="BB40" s="615">
        <v>4.9000000000000004</v>
      </c>
      <c r="BC40" s="615">
        <v>4.9000000000000004</v>
      </c>
      <c r="BD40" s="615">
        <v>4.9000000000000004</v>
      </c>
      <c r="BE40" s="615">
        <v>4.9000000000000004</v>
      </c>
      <c r="BF40" s="615">
        <v>4.9000000000000004</v>
      </c>
      <c r="BG40" s="615">
        <v>4.9000000000000004</v>
      </c>
      <c r="BH40" s="615">
        <v>4.9000000000000004</v>
      </c>
      <c r="BI40" s="615">
        <v>4.9000000000000004</v>
      </c>
      <c r="BJ40" s="615">
        <v>4.9000000000000004</v>
      </c>
      <c r="BK40" s="615">
        <v>4.9000000000000004</v>
      </c>
      <c r="BL40" s="615">
        <v>4.9000000000000004</v>
      </c>
      <c r="BM40" s="615">
        <v>4.9000000000000004</v>
      </c>
      <c r="BN40" s="615">
        <v>4.9000000000000004</v>
      </c>
      <c r="BO40" s="615">
        <v>4.9000000000000004</v>
      </c>
      <c r="BP40" s="615">
        <v>4.9000000000000004</v>
      </c>
      <c r="BQ40" s="615">
        <v>4.9000000000000004</v>
      </c>
      <c r="BR40" s="615">
        <v>4.9000000000000004</v>
      </c>
      <c r="BS40" s="615">
        <v>4.9000000000000004</v>
      </c>
      <c r="BT40" s="615">
        <v>4.9000000000000004</v>
      </c>
      <c r="BU40" s="615">
        <v>4.9000000000000004</v>
      </c>
      <c r="BV40" s="615">
        <v>4.9000000000000004</v>
      </c>
      <c r="BW40" s="615">
        <v>4.9000000000000004</v>
      </c>
      <c r="BX40" s="615">
        <v>4.9000000000000004</v>
      </c>
      <c r="BY40" s="615">
        <v>4.9000000000000004</v>
      </c>
      <c r="BZ40" s="615">
        <v>4.9000000000000004</v>
      </c>
      <c r="CA40" s="615">
        <v>4.9000000000000004</v>
      </c>
      <c r="CB40" s="615">
        <v>4.9000000000000004</v>
      </c>
      <c r="CC40" s="615">
        <v>4.9000000000000004</v>
      </c>
      <c r="CD40" s="615">
        <v>4.9000000000000004</v>
      </c>
      <c r="CE40" s="615">
        <v>4.9000000000000004</v>
      </c>
      <c r="CF40" s="615">
        <v>4.9000000000000004</v>
      </c>
      <c r="CG40" s="615">
        <v>4.9000000000000004</v>
      </c>
      <c r="CH40" s="615">
        <v>4.9000000000000004</v>
      </c>
      <c r="CI40" s="615">
        <v>4.9000000000000004</v>
      </c>
      <c r="CJ40" s="1410"/>
      <c r="CK40" s="605"/>
    </row>
    <row r="41" spans="1:89" s="64" customFormat="1" x14ac:dyDescent="0.35">
      <c r="A41" s="58"/>
      <c r="B41" s="620" t="s">
        <v>341</v>
      </c>
      <c r="C41" s="621" t="s">
        <v>342</v>
      </c>
      <c r="D41" s="621" t="s">
        <v>343</v>
      </c>
      <c r="E41" s="622" t="s">
        <v>305</v>
      </c>
      <c r="F41" s="610">
        <v>2</v>
      </c>
      <c r="G41" s="618">
        <f>(G30+G32)-(G39+G40)</f>
        <v>91.660000000000011</v>
      </c>
      <c r="H41" s="618">
        <f t="shared" ref="H41:BS41" si="10">(H30+H32)-(H39+H40)</f>
        <v>91.660000000000011</v>
      </c>
      <c r="I41" s="618">
        <f t="shared" si="10"/>
        <v>91.660000000000011</v>
      </c>
      <c r="J41" s="618">
        <f t="shared" si="10"/>
        <v>91.660000000000011</v>
      </c>
      <c r="K41" s="618">
        <f t="shared" si="10"/>
        <v>91.660000000000011</v>
      </c>
      <c r="L41" s="618">
        <f t="shared" si="10"/>
        <v>89.660000000000011</v>
      </c>
      <c r="M41" s="623">
        <f t="shared" si="10"/>
        <v>88.327847338129516</v>
      </c>
      <c r="N41" s="623">
        <f t="shared" si="10"/>
        <v>88.179947338129523</v>
      </c>
      <c r="O41" s="623">
        <f t="shared" si="10"/>
        <v>87.672047338129516</v>
      </c>
      <c r="P41" s="623">
        <f t="shared" si="10"/>
        <v>87.524147338129524</v>
      </c>
      <c r="Q41" s="623">
        <f t="shared" si="10"/>
        <v>87.376247338129517</v>
      </c>
      <c r="R41" s="623">
        <f t="shared" si="10"/>
        <v>69.218347338129519</v>
      </c>
      <c r="S41" s="623">
        <f t="shared" si="10"/>
        <v>69.070447338129512</v>
      </c>
      <c r="T41" s="623">
        <f t="shared" si="10"/>
        <v>68.922547338129519</v>
      </c>
      <c r="U41" s="623">
        <f t="shared" si="10"/>
        <v>68.774647338129512</v>
      </c>
      <c r="V41" s="623">
        <f t="shared" si="10"/>
        <v>68.626747338129519</v>
      </c>
      <c r="W41" s="623">
        <f t="shared" si="10"/>
        <v>68.478847338129512</v>
      </c>
      <c r="X41" s="623">
        <f t="shared" si="10"/>
        <v>68.330947338129519</v>
      </c>
      <c r="Y41" s="623">
        <f t="shared" si="10"/>
        <v>68.183047338129512</v>
      </c>
      <c r="Z41" s="623">
        <f t="shared" si="10"/>
        <v>68.035147338129519</v>
      </c>
      <c r="AA41" s="623">
        <f t="shared" si="10"/>
        <v>67.887247338129512</v>
      </c>
      <c r="AB41" s="623">
        <f t="shared" si="10"/>
        <v>35.850000000000009</v>
      </c>
      <c r="AC41" s="623">
        <f t="shared" si="10"/>
        <v>35.850000000000009</v>
      </c>
      <c r="AD41" s="623">
        <f t="shared" si="10"/>
        <v>35.850000000000009</v>
      </c>
      <c r="AE41" s="623">
        <f t="shared" si="10"/>
        <v>35.850000000000009</v>
      </c>
      <c r="AF41" s="623">
        <f t="shared" si="10"/>
        <v>35.850000000000009</v>
      </c>
      <c r="AG41" s="623">
        <f t="shared" si="10"/>
        <v>35.850000000000009</v>
      </c>
      <c r="AH41" s="623">
        <f t="shared" si="10"/>
        <v>35.850000000000009</v>
      </c>
      <c r="AI41" s="623">
        <f t="shared" si="10"/>
        <v>35.850000000000009</v>
      </c>
      <c r="AJ41" s="623">
        <f t="shared" si="10"/>
        <v>35.850000000000009</v>
      </c>
      <c r="AK41" s="623">
        <f t="shared" si="10"/>
        <v>35.850000000000009</v>
      </c>
      <c r="AL41" s="623">
        <f t="shared" si="10"/>
        <v>35.850000000000009</v>
      </c>
      <c r="AM41" s="623">
        <f t="shared" si="10"/>
        <v>35.850000000000009</v>
      </c>
      <c r="AN41" s="623">
        <f t="shared" si="10"/>
        <v>35.850000000000009</v>
      </c>
      <c r="AO41" s="623">
        <f t="shared" si="10"/>
        <v>35.850000000000009</v>
      </c>
      <c r="AP41" s="623">
        <f t="shared" si="10"/>
        <v>35.850000000000009</v>
      </c>
      <c r="AQ41" s="623">
        <f t="shared" si="10"/>
        <v>35.850000000000009</v>
      </c>
      <c r="AR41" s="623">
        <f t="shared" si="10"/>
        <v>35.850000000000009</v>
      </c>
      <c r="AS41" s="623">
        <f t="shared" si="10"/>
        <v>35.850000000000009</v>
      </c>
      <c r="AT41" s="623">
        <f t="shared" si="10"/>
        <v>35.850000000000009</v>
      </c>
      <c r="AU41" s="623">
        <f t="shared" si="10"/>
        <v>35.850000000000009</v>
      </c>
      <c r="AV41" s="623">
        <f t="shared" si="10"/>
        <v>35.850000000000009</v>
      </c>
      <c r="AW41" s="623">
        <f t="shared" si="10"/>
        <v>35.850000000000009</v>
      </c>
      <c r="AX41" s="623">
        <f t="shared" si="10"/>
        <v>35.850000000000009</v>
      </c>
      <c r="AY41" s="623">
        <f t="shared" si="10"/>
        <v>35.850000000000009</v>
      </c>
      <c r="AZ41" s="623">
        <f t="shared" si="10"/>
        <v>35.850000000000009</v>
      </c>
      <c r="BA41" s="623">
        <f t="shared" si="10"/>
        <v>35.850000000000009</v>
      </c>
      <c r="BB41" s="623">
        <f t="shared" si="10"/>
        <v>35.850000000000009</v>
      </c>
      <c r="BC41" s="623">
        <f t="shared" si="10"/>
        <v>35.850000000000009</v>
      </c>
      <c r="BD41" s="623">
        <f t="shared" si="10"/>
        <v>35.850000000000009</v>
      </c>
      <c r="BE41" s="623">
        <f t="shared" si="10"/>
        <v>35.850000000000009</v>
      </c>
      <c r="BF41" s="623">
        <f t="shared" si="10"/>
        <v>35.850000000000009</v>
      </c>
      <c r="BG41" s="623">
        <f t="shared" si="10"/>
        <v>35.850000000000009</v>
      </c>
      <c r="BH41" s="623">
        <f t="shared" si="10"/>
        <v>35.850000000000009</v>
      </c>
      <c r="BI41" s="623">
        <f t="shared" si="10"/>
        <v>35.850000000000009</v>
      </c>
      <c r="BJ41" s="623">
        <f t="shared" si="10"/>
        <v>35.850000000000009</v>
      </c>
      <c r="BK41" s="623">
        <f t="shared" si="10"/>
        <v>35.850000000000009</v>
      </c>
      <c r="BL41" s="623">
        <f t="shared" si="10"/>
        <v>35.850000000000009</v>
      </c>
      <c r="BM41" s="623">
        <f t="shared" si="10"/>
        <v>35.850000000000009</v>
      </c>
      <c r="BN41" s="623">
        <f t="shared" si="10"/>
        <v>35.850000000000009</v>
      </c>
      <c r="BO41" s="623">
        <f t="shared" si="10"/>
        <v>35.850000000000009</v>
      </c>
      <c r="BP41" s="623">
        <f t="shared" si="10"/>
        <v>35.850000000000009</v>
      </c>
      <c r="BQ41" s="623">
        <f t="shared" si="10"/>
        <v>35.850000000000009</v>
      </c>
      <c r="BR41" s="623">
        <f t="shared" si="10"/>
        <v>35.850000000000009</v>
      </c>
      <c r="BS41" s="623">
        <f t="shared" si="10"/>
        <v>35.850000000000009</v>
      </c>
      <c r="BT41" s="623">
        <f t="shared" ref="BT41:CI41" si="11">(BT30+BT32)-(BT39+BT40)</f>
        <v>35.850000000000009</v>
      </c>
      <c r="BU41" s="623">
        <f t="shared" si="11"/>
        <v>35.850000000000009</v>
      </c>
      <c r="BV41" s="623">
        <f t="shared" si="11"/>
        <v>35.850000000000009</v>
      </c>
      <c r="BW41" s="623">
        <f t="shared" si="11"/>
        <v>35.850000000000009</v>
      </c>
      <c r="BX41" s="623">
        <f t="shared" si="11"/>
        <v>35.850000000000009</v>
      </c>
      <c r="BY41" s="623">
        <f t="shared" si="11"/>
        <v>35.850000000000009</v>
      </c>
      <c r="BZ41" s="623">
        <f t="shared" si="11"/>
        <v>35.850000000000009</v>
      </c>
      <c r="CA41" s="623">
        <f t="shared" si="11"/>
        <v>35.850000000000009</v>
      </c>
      <c r="CB41" s="623">
        <f t="shared" si="11"/>
        <v>35.850000000000009</v>
      </c>
      <c r="CC41" s="623">
        <f t="shared" si="11"/>
        <v>35.850000000000009</v>
      </c>
      <c r="CD41" s="623">
        <f t="shared" si="11"/>
        <v>35.850000000000009</v>
      </c>
      <c r="CE41" s="623">
        <f t="shared" si="11"/>
        <v>35.850000000000009</v>
      </c>
      <c r="CF41" s="623">
        <f t="shared" si="11"/>
        <v>35.850000000000009</v>
      </c>
      <c r="CG41" s="623">
        <f t="shared" si="11"/>
        <v>35.850000000000009</v>
      </c>
      <c r="CH41" s="623">
        <f t="shared" si="11"/>
        <v>35.850000000000009</v>
      </c>
      <c r="CI41" s="619">
        <f t="shared" si="11"/>
        <v>35.850000000000009</v>
      </c>
      <c r="CJ41" s="1410"/>
      <c r="CK41" s="605"/>
    </row>
    <row r="42" spans="1:89" s="64" customFormat="1" ht="14.5" thickBot="1" x14ac:dyDescent="0.4">
      <c r="A42" s="58"/>
      <c r="B42" s="626" t="s">
        <v>344</v>
      </c>
      <c r="C42" s="627" t="s">
        <v>345</v>
      </c>
      <c r="D42" s="627" t="s">
        <v>346</v>
      </c>
      <c r="E42" s="628" t="s">
        <v>305</v>
      </c>
      <c r="F42" s="629">
        <v>2</v>
      </c>
      <c r="G42" s="630">
        <f>G41+SUM(G26:G29)</f>
        <v>91.100000000000009</v>
      </c>
      <c r="H42" s="630">
        <f t="shared" ref="H42:BS42" si="12">H41+SUM(H26:H29)</f>
        <v>91.100000000000009</v>
      </c>
      <c r="I42" s="630">
        <f t="shared" si="12"/>
        <v>91.100000000000009</v>
      </c>
      <c r="J42" s="630">
        <f t="shared" si="12"/>
        <v>91.100000000000009</v>
      </c>
      <c r="K42" s="630">
        <f t="shared" si="12"/>
        <v>91.100000000000009</v>
      </c>
      <c r="L42" s="630">
        <f t="shared" si="12"/>
        <v>89.100000000000009</v>
      </c>
      <c r="M42" s="630">
        <f t="shared" si="12"/>
        <v>87.767847338129513</v>
      </c>
      <c r="N42" s="630">
        <f t="shared" si="12"/>
        <v>87.619947338129521</v>
      </c>
      <c r="O42" s="630">
        <f t="shared" si="12"/>
        <v>87.112047338129514</v>
      </c>
      <c r="P42" s="630">
        <f t="shared" si="12"/>
        <v>86.964147338129521</v>
      </c>
      <c r="Q42" s="630">
        <f t="shared" si="12"/>
        <v>86.816247338129514</v>
      </c>
      <c r="R42" s="630">
        <f t="shared" si="12"/>
        <v>68.658347338129516</v>
      </c>
      <c r="S42" s="630">
        <f t="shared" si="12"/>
        <v>68.510447338129509</v>
      </c>
      <c r="T42" s="630">
        <f t="shared" si="12"/>
        <v>68.362547338129517</v>
      </c>
      <c r="U42" s="630">
        <f t="shared" si="12"/>
        <v>68.21464733812951</v>
      </c>
      <c r="V42" s="630">
        <f t="shared" si="12"/>
        <v>68.066747338129517</v>
      </c>
      <c r="W42" s="630">
        <f t="shared" si="12"/>
        <v>67.91884733812951</v>
      </c>
      <c r="X42" s="630">
        <f t="shared" si="12"/>
        <v>67.770947338129517</v>
      </c>
      <c r="Y42" s="630">
        <f t="shared" si="12"/>
        <v>67.62304733812951</v>
      </c>
      <c r="Z42" s="630">
        <f t="shared" si="12"/>
        <v>67.475147338129517</v>
      </c>
      <c r="AA42" s="630">
        <f t="shared" si="12"/>
        <v>67.32724733812951</v>
      </c>
      <c r="AB42" s="630">
        <f t="shared" si="12"/>
        <v>35.290000000000006</v>
      </c>
      <c r="AC42" s="630">
        <f t="shared" si="12"/>
        <v>35.290000000000006</v>
      </c>
      <c r="AD42" s="630">
        <f t="shared" si="12"/>
        <v>35.290000000000006</v>
      </c>
      <c r="AE42" s="630">
        <f t="shared" si="12"/>
        <v>35.290000000000006</v>
      </c>
      <c r="AF42" s="630">
        <f t="shared" si="12"/>
        <v>35.290000000000006</v>
      </c>
      <c r="AG42" s="630">
        <f t="shared" si="12"/>
        <v>35.290000000000006</v>
      </c>
      <c r="AH42" s="630">
        <f t="shared" si="12"/>
        <v>35.290000000000006</v>
      </c>
      <c r="AI42" s="630">
        <f t="shared" si="12"/>
        <v>35.290000000000006</v>
      </c>
      <c r="AJ42" s="630">
        <f t="shared" si="12"/>
        <v>35.290000000000006</v>
      </c>
      <c r="AK42" s="630">
        <f t="shared" si="12"/>
        <v>35.290000000000006</v>
      </c>
      <c r="AL42" s="630">
        <f t="shared" si="12"/>
        <v>35.290000000000006</v>
      </c>
      <c r="AM42" s="630">
        <f t="shared" si="12"/>
        <v>35.290000000000006</v>
      </c>
      <c r="AN42" s="630">
        <f t="shared" si="12"/>
        <v>35.290000000000006</v>
      </c>
      <c r="AO42" s="630">
        <f t="shared" si="12"/>
        <v>35.290000000000006</v>
      </c>
      <c r="AP42" s="630">
        <f t="shared" si="12"/>
        <v>35.290000000000006</v>
      </c>
      <c r="AQ42" s="630">
        <f t="shared" si="12"/>
        <v>35.290000000000006</v>
      </c>
      <c r="AR42" s="630">
        <f t="shared" si="12"/>
        <v>35.290000000000006</v>
      </c>
      <c r="AS42" s="630">
        <f t="shared" si="12"/>
        <v>35.290000000000006</v>
      </c>
      <c r="AT42" s="630">
        <f t="shared" si="12"/>
        <v>35.290000000000006</v>
      </c>
      <c r="AU42" s="630">
        <f t="shared" si="12"/>
        <v>35.290000000000006</v>
      </c>
      <c r="AV42" s="630">
        <f t="shared" si="12"/>
        <v>35.290000000000006</v>
      </c>
      <c r="AW42" s="630">
        <f t="shared" si="12"/>
        <v>35.290000000000006</v>
      </c>
      <c r="AX42" s="630">
        <f t="shared" si="12"/>
        <v>35.290000000000006</v>
      </c>
      <c r="AY42" s="630">
        <f t="shared" si="12"/>
        <v>35.290000000000006</v>
      </c>
      <c r="AZ42" s="630">
        <f t="shared" si="12"/>
        <v>35.290000000000006</v>
      </c>
      <c r="BA42" s="630">
        <f t="shared" si="12"/>
        <v>35.290000000000006</v>
      </c>
      <c r="BB42" s="630">
        <f t="shared" si="12"/>
        <v>35.290000000000006</v>
      </c>
      <c r="BC42" s="630">
        <f t="shared" si="12"/>
        <v>35.290000000000006</v>
      </c>
      <c r="BD42" s="630">
        <f t="shared" si="12"/>
        <v>35.290000000000006</v>
      </c>
      <c r="BE42" s="630">
        <f t="shared" si="12"/>
        <v>35.290000000000006</v>
      </c>
      <c r="BF42" s="630">
        <f t="shared" si="12"/>
        <v>35.290000000000006</v>
      </c>
      <c r="BG42" s="630">
        <f t="shared" si="12"/>
        <v>35.290000000000006</v>
      </c>
      <c r="BH42" s="630">
        <f t="shared" si="12"/>
        <v>35.290000000000006</v>
      </c>
      <c r="BI42" s="630">
        <f t="shared" si="12"/>
        <v>35.290000000000006</v>
      </c>
      <c r="BJ42" s="630">
        <f t="shared" si="12"/>
        <v>35.290000000000006</v>
      </c>
      <c r="BK42" s="630">
        <f t="shared" si="12"/>
        <v>35.290000000000006</v>
      </c>
      <c r="BL42" s="630">
        <f t="shared" si="12"/>
        <v>35.290000000000006</v>
      </c>
      <c r="BM42" s="630">
        <f t="shared" si="12"/>
        <v>35.290000000000006</v>
      </c>
      <c r="BN42" s="630">
        <f t="shared" si="12"/>
        <v>35.290000000000006</v>
      </c>
      <c r="BO42" s="630">
        <f t="shared" si="12"/>
        <v>35.290000000000006</v>
      </c>
      <c r="BP42" s="630">
        <f t="shared" si="12"/>
        <v>35.290000000000006</v>
      </c>
      <c r="BQ42" s="630">
        <f t="shared" si="12"/>
        <v>35.290000000000006</v>
      </c>
      <c r="BR42" s="630">
        <f t="shared" si="12"/>
        <v>35.290000000000006</v>
      </c>
      <c r="BS42" s="630">
        <f t="shared" si="12"/>
        <v>35.290000000000006</v>
      </c>
      <c r="BT42" s="630">
        <f t="shared" ref="BT42:CI42" si="13">BT41+SUM(BT26:BT29)</f>
        <v>35.290000000000006</v>
      </c>
      <c r="BU42" s="630">
        <f t="shared" si="13"/>
        <v>35.290000000000006</v>
      </c>
      <c r="BV42" s="630">
        <f t="shared" si="13"/>
        <v>35.290000000000006</v>
      </c>
      <c r="BW42" s="630">
        <f t="shared" si="13"/>
        <v>35.290000000000006</v>
      </c>
      <c r="BX42" s="630">
        <f t="shared" si="13"/>
        <v>35.290000000000006</v>
      </c>
      <c r="BY42" s="630">
        <f t="shared" si="13"/>
        <v>35.290000000000006</v>
      </c>
      <c r="BZ42" s="630">
        <f t="shared" si="13"/>
        <v>35.290000000000006</v>
      </c>
      <c r="CA42" s="630">
        <f t="shared" si="13"/>
        <v>35.290000000000006</v>
      </c>
      <c r="CB42" s="630">
        <f t="shared" si="13"/>
        <v>35.290000000000006</v>
      </c>
      <c r="CC42" s="630">
        <f t="shared" si="13"/>
        <v>35.290000000000006</v>
      </c>
      <c r="CD42" s="630">
        <f t="shared" si="13"/>
        <v>35.290000000000006</v>
      </c>
      <c r="CE42" s="630">
        <f t="shared" si="13"/>
        <v>35.290000000000006</v>
      </c>
      <c r="CF42" s="630">
        <f t="shared" si="13"/>
        <v>35.290000000000006</v>
      </c>
      <c r="CG42" s="630">
        <f t="shared" si="13"/>
        <v>35.290000000000006</v>
      </c>
      <c r="CH42" s="630">
        <f t="shared" si="13"/>
        <v>35.290000000000006</v>
      </c>
      <c r="CI42" s="631">
        <f t="shared" si="13"/>
        <v>35.290000000000006</v>
      </c>
      <c r="CJ42" s="1410"/>
      <c r="CK42" s="605"/>
    </row>
    <row r="43" spans="1:89" s="1621" customFormat="1" x14ac:dyDescent="0.35">
      <c r="A43" s="1618"/>
      <c r="B43" s="1120" t="s">
        <v>347</v>
      </c>
      <c r="C43" s="1121" t="s">
        <v>348</v>
      </c>
      <c r="D43" s="1122" t="s">
        <v>82</v>
      </c>
      <c r="E43" s="1123" t="s">
        <v>305</v>
      </c>
      <c r="F43" s="1124">
        <v>2</v>
      </c>
      <c r="G43" s="602">
        <v>21.64</v>
      </c>
      <c r="H43" s="602">
        <v>23.063559690000002</v>
      </c>
      <c r="I43" s="602">
        <v>23.70723061</v>
      </c>
      <c r="J43" s="602">
        <v>24.74716566</v>
      </c>
      <c r="K43" s="602">
        <v>26.008108379999999</v>
      </c>
      <c r="L43" s="602">
        <v>26.981185669999999</v>
      </c>
      <c r="M43" s="603">
        <v>27.62995214</v>
      </c>
      <c r="N43" s="603">
        <v>28.29720137</v>
      </c>
      <c r="O43" s="603">
        <v>28.960065119999999</v>
      </c>
      <c r="P43" s="603">
        <v>29.568994180000001</v>
      </c>
      <c r="Q43" s="603">
        <v>30.132555440000001</v>
      </c>
      <c r="R43" s="603">
        <v>30.69961717</v>
      </c>
      <c r="S43" s="603">
        <v>31.21580221</v>
      </c>
      <c r="T43" s="603">
        <v>31.69902935</v>
      </c>
      <c r="U43" s="603">
        <v>32.229928450000003</v>
      </c>
      <c r="V43" s="603">
        <v>32.693209850000002</v>
      </c>
      <c r="W43" s="603">
        <v>33.177829459999998</v>
      </c>
      <c r="X43" s="603">
        <v>33.67051738</v>
      </c>
      <c r="Y43" s="603">
        <v>34.139892590000002</v>
      </c>
      <c r="Z43" s="603">
        <v>34.572552450000003</v>
      </c>
      <c r="AA43" s="603">
        <v>34.647216579999998</v>
      </c>
      <c r="AB43" s="603">
        <v>34.721880710000001</v>
      </c>
      <c r="AC43" s="603">
        <v>34.796544840000003</v>
      </c>
      <c r="AD43" s="603">
        <v>34.871208969999998</v>
      </c>
      <c r="AE43" s="603">
        <v>34.9458731</v>
      </c>
      <c r="AF43" s="603">
        <v>35.020537230000002</v>
      </c>
      <c r="AG43" s="603">
        <v>35.095201359999997</v>
      </c>
      <c r="AH43" s="603">
        <v>35.169865489999999</v>
      </c>
      <c r="AI43" s="603">
        <v>35.244529620000002</v>
      </c>
      <c r="AJ43" s="603">
        <v>35.319193749999997</v>
      </c>
      <c r="AK43" s="603">
        <v>35.393857879999999</v>
      </c>
      <c r="AL43" s="603">
        <v>35.468522010000001</v>
      </c>
      <c r="AM43" s="603">
        <v>35.543186140000003</v>
      </c>
      <c r="AN43" s="603">
        <v>35.617850269999998</v>
      </c>
      <c r="AO43" s="603">
        <v>35.6925144</v>
      </c>
      <c r="AP43" s="603">
        <v>35.767178530000002</v>
      </c>
      <c r="AQ43" s="603">
        <v>35.841842659999998</v>
      </c>
      <c r="AR43" s="603">
        <v>35.91650679</v>
      </c>
      <c r="AS43" s="603">
        <v>35.991170920000002</v>
      </c>
      <c r="AT43" s="603">
        <v>36.065835049999997</v>
      </c>
      <c r="AU43" s="603">
        <v>36.14049919</v>
      </c>
      <c r="AV43" s="603">
        <v>36.215163320000002</v>
      </c>
      <c r="AW43" s="603">
        <v>36.289827449999997</v>
      </c>
      <c r="AX43" s="603">
        <v>36.364491579999999</v>
      </c>
      <c r="AY43" s="603">
        <v>36.439155710000001</v>
      </c>
      <c r="AZ43" s="603">
        <v>36.513819839999996</v>
      </c>
      <c r="BA43" s="603">
        <v>36.588483969999999</v>
      </c>
      <c r="BB43" s="603">
        <v>36.663148100000001</v>
      </c>
      <c r="BC43" s="603">
        <v>36.737812230000003</v>
      </c>
      <c r="BD43" s="603">
        <v>36.812476359999998</v>
      </c>
      <c r="BE43" s="603">
        <v>36.88714049</v>
      </c>
      <c r="BF43" s="603">
        <v>36.961804620000002</v>
      </c>
      <c r="BG43" s="603">
        <v>37.036468749999997</v>
      </c>
      <c r="BH43" s="603">
        <v>37.11113288</v>
      </c>
      <c r="BI43" s="603">
        <v>37.185797010000002</v>
      </c>
      <c r="BJ43" s="603">
        <v>37.260461139999997</v>
      </c>
      <c r="BK43" s="603">
        <v>37.335125269999999</v>
      </c>
      <c r="BL43" s="603">
        <v>37.409789400000001</v>
      </c>
      <c r="BM43" s="603">
        <v>37.484453530000003</v>
      </c>
      <c r="BN43" s="603">
        <v>37.559117659999998</v>
      </c>
      <c r="BO43" s="603">
        <v>37.63378179</v>
      </c>
      <c r="BP43" s="603">
        <v>37.708445920000003</v>
      </c>
      <c r="BQ43" s="603">
        <v>37.783110049999998</v>
      </c>
      <c r="BR43" s="603">
        <v>37.85777418</v>
      </c>
      <c r="BS43" s="603">
        <v>37.932438310000002</v>
      </c>
      <c r="BT43" s="603">
        <v>38.007102439999997</v>
      </c>
      <c r="BU43" s="603">
        <v>38.081766569999999</v>
      </c>
      <c r="BV43" s="603">
        <v>38.156430700000001</v>
      </c>
      <c r="BW43" s="603">
        <v>38.231094830000004</v>
      </c>
      <c r="BX43" s="603">
        <v>38.305758959999999</v>
      </c>
      <c r="BY43" s="603">
        <v>38.380423090000001</v>
      </c>
      <c r="BZ43" s="603">
        <v>38.455087220000003</v>
      </c>
      <c r="CA43" s="603">
        <v>38.529751349999998</v>
      </c>
      <c r="CB43" s="603">
        <v>38.60441548</v>
      </c>
      <c r="CC43" s="603">
        <v>38.679079610000002</v>
      </c>
      <c r="CD43" s="603">
        <v>38.753743739999997</v>
      </c>
      <c r="CE43" s="603">
        <v>38.828407869999999</v>
      </c>
      <c r="CF43" s="603">
        <v>38.903072000000002</v>
      </c>
      <c r="CG43" s="603">
        <v>38.977736129999997</v>
      </c>
      <c r="CH43" s="603">
        <v>38.977736129999997</v>
      </c>
      <c r="CI43" s="604">
        <v>38.977736129999997</v>
      </c>
      <c r="CJ43" s="1619"/>
      <c r="CK43" s="1620"/>
    </row>
    <row r="44" spans="1:89" s="1621" customFormat="1" ht="28" x14ac:dyDescent="0.35">
      <c r="A44" s="1618"/>
      <c r="B44" s="1125" t="s">
        <v>349</v>
      </c>
      <c r="C44" s="1126" t="s">
        <v>350</v>
      </c>
      <c r="D44" s="1117" t="s">
        <v>82</v>
      </c>
      <c r="E44" s="1118" t="s">
        <v>305</v>
      </c>
      <c r="F44" s="1119">
        <v>2</v>
      </c>
      <c r="G44" s="1105"/>
      <c r="H44" s="1102"/>
      <c r="I44" s="1102"/>
      <c r="J44" s="1102"/>
      <c r="K44" s="1102"/>
      <c r="L44" s="1102"/>
      <c r="M44" s="1103"/>
      <c r="N44" s="1103"/>
      <c r="O44" s="1103"/>
      <c r="P44" s="1103"/>
      <c r="Q44" s="1103"/>
      <c r="R44" s="1103"/>
      <c r="S44" s="1103"/>
      <c r="T44" s="1103"/>
      <c r="U44" s="1103"/>
      <c r="V44" s="1103"/>
      <c r="W44" s="1103"/>
      <c r="X44" s="1103"/>
      <c r="Y44" s="1103"/>
      <c r="Z44" s="1103"/>
      <c r="AA44" s="1103"/>
      <c r="AB44" s="1103"/>
      <c r="AC44" s="1103"/>
      <c r="AD44" s="1103"/>
      <c r="AE44" s="1103"/>
      <c r="AF44" s="1103"/>
      <c r="AG44" s="1103"/>
      <c r="AH44" s="1103"/>
      <c r="AI44" s="1103"/>
      <c r="AJ44" s="1103"/>
      <c r="AK44" s="1103"/>
      <c r="AL44" s="1103"/>
      <c r="AM44" s="1103"/>
      <c r="AN44" s="1103"/>
      <c r="AO44" s="1103"/>
      <c r="AP44" s="1103"/>
      <c r="AQ44" s="1103"/>
      <c r="AR44" s="1103"/>
      <c r="AS44" s="1103"/>
      <c r="AT44" s="1103"/>
      <c r="AU44" s="1103"/>
      <c r="AV44" s="1103"/>
      <c r="AW44" s="1103"/>
      <c r="AX44" s="1103"/>
      <c r="AY44" s="1103"/>
      <c r="AZ44" s="1103"/>
      <c r="BA44" s="1103"/>
      <c r="BB44" s="1103"/>
      <c r="BC44" s="1103"/>
      <c r="BD44" s="1103"/>
      <c r="BE44" s="1103"/>
      <c r="BF44" s="1103"/>
      <c r="BG44" s="1103"/>
      <c r="BH44" s="1103"/>
      <c r="BI44" s="1103"/>
      <c r="BJ44" s="1103"/>
      <c r="BK44" s="1103"/>
      <c r="BL44" s="1103"/>
      <c r="BM44" s="1103"/>
      <c r="BN44" s="1103"/>
      <c r="BO44" s="1103"/>
      <c r="BP44" s="1103"/>
      <c r="BQ44" s="1103"/>
      <c r="BR44" s="1103"/>
      <c r="BS44" s="1103"/>
      <c r="BT44" s="1103"/>
      <c r="BU44" s="1103"/>
      <c r="BV44" s="1103"/>
      <c r="BW44" s="1103"/>
      <c r="BX44" s="1103"/>
      <c r="BY44" s="1103"/>
      <c r="BZ44" s="1103"/>
      <c r="CA44" s="1103"/>
      <c r="CB44" s="1103"/>
      <c r="CC44" s="1103"/>
      <c r="CD44" s="1103"/>
      <c r="CE44" s="1103"/>
      <c r="CF44" s="1103"/>
      <c r="CG44" s="1103"/>
      <c r="CH44" s="1103"/>
      <c r="CI44" s="1104"/>
      <c r="CJ44" s="1619"/>
      <c r="CK44" s="1620"/>
    </row>
    <row r="45" spans="1:89" s="1621" customFormat="1" x14ac:dyDescent="0.35">
      <c r="A45" s="1618"/>
      <c r="B45" s="1127" t="s">
        <v>351</v>
      </c>
      <c r="C45" s="1128" t="s">
        <v>352</v>
      </c>
      <c r="D45" s="1129" t="s">
        <v>82</v>
      </c>
      <c r="E45" s="1130" t="s">
        <v>305</v>
      </c>
      <c r="F45" s="1131">
        <v>2</v>
      </c>
      <c r="G45" s="611">
        <v>1.01</v>
      </c>
      <c r="H45" s="611">
        <v>1.01</v>
      </c>
      <c r="I45" s="611">
        <v>1.01</v>
      </c>
      <c r="J45" s="611">
        <v>1.01</v>
      </c>
      <c r="K45" s="611">
        <v>1.01</v>
      </c>
      <c r="L45" s="611">
        <v>1.01</v>
      </c>
      <c r="M45" s="615">
        <v>1.01</v>
      </c>
      <c r="N45" s="615">
        <v>1.01</v>
      </c>
      <c r="O45" s="615">
        <v>1.01</v>
      </c>
      <c r="P45" s="615">
        <v>1.01</v>
      </c>
      <c r="Q45" s="615">
        <v>1.01</v>
      </c>
      <c r="R45" s="615">
        <v>1.01</v>
      </c>
      <c r="S45" s="615">
        <v>1.01</v>
      </c>
      <c r="T45" s="615">
        <v>1.01</v>
      </c>
      <c r="U45" s="615">
        <v>1.01</v>
      </c>
      <c r="V45" s="615">
        <v>1.01</v>
      </c>
      <c r="W45" s="615">
        <v>1.01</v>
      </c>
      <c r="X45" s="615">
        <v>1.01</v>
      </c>
      <c r="Y45" s="615">
        <v>1.01</v>
      </c>
      <c r="Z45" s="615">
        <v>1.01</v>
      </c>
      <c r="AA45" s="615">
        <v>1.0122954040000001</v>
      </c>
      <c r="AB45" s="615">
        <v>1.014590809</v>
      </c>
      <c r="AC45" s="615">
        <v>1.016886213</v>
      </c>
      <c r="AD45" s="615">
        <v>1.019181618</v>
      </c>
      <c r="AE45" s="615">
        <v>1.021477022</v>
      </c>
      <c r="AF45" s="615">
        <v>1.0237724269999999</v>
      </c>
      <c r="AG45" s="615">
        <v>1.026067831</v>
      </c>
      <c r="AH45" s="615">
        <v>1.0283632359999999</v>
      </c>
      <c r="AI45" s="615">
        <v>1.03065864</v>
      </c>
      <c r="AJ45" s="615">
        <v>1.0329540450000001</v>
      </c>
      <c r="AK45" s="615">
        <v>1.0352494489999999</v>
      </c>
      <c r="AL45" s="615">
        <v>1.0375448540000001</v>
      </c>
      <c r="AM45" s="615">
        <v>1.0398402579999999</v>
      </c>
      <c r="AN45" s="615">
        <v>1.042135663</v>
      </c>
      <c r="AO45" s="615">
        <v>1.0444310670000001</v>
      </c>
      <c r="AP45" s="615">
        <v>1.0467264709999999</v>
      </c>
      <c r="AQ45" s="615">
        <v>1.0490218760000001</v>
      </c>
      <c r="AR45" s="615">
        <v>1.0513172799999999</v>
      </c>
      <c r="AS45" s="615">
        <v>1.053612685</v>
      </c>
      <c r="AT45" s="615">
        <v>1.0559080890000001</v>
      </c>
      <c r="AU45" s="615">
        <v>1.058203494</v>
      </c>
      <c r="AV45" s="615">
        <v>1.0604988980000001</v>
      </c>
      <c r="AW45" s="615">
        <v>1.062794303</v>
      </c>
      <c r="AX45" s="615">
        <v>1.0650897070000001</v>
      </c>
      <c r="AY45" s="615">
        <v>1.067385112</v>
      </c>
      <c r="AZ45" s="615">
        <v>1.069680516</v>
      </c>
      <c r="BA45" s="615">
        <v>1.0719759209999999</v>
      </c>
      <c r="BB45" s="615">
        <v>1.074271325</v>
      </c>
      <c r="BC45" s="615">
        <v>1.0765667290000001</v>
      </c>
      <c r="BD45" s="615">
        <v>1.078862134</v>
      </c>
      <c r="BE45" s="615">
        <v>1.081157538</v>
      </c>
      <c r="BF45" s="615">
        <v>1.0834529429999999</v>
      </c>
      <c r="BG45" s="615">
        <v>1.085748347</v>
      </c>
      <c r="BH45" s="615">
        <v>1.0880437519999999</v>
      </c>
      <c r="BI45" s="615">
        <v>1.090339156</v>
      </c>
      <c r="BJ45" s="615">
        <v>1.0926345609999999</v>
      </c>
      <c r="BK45" s="615">
        <v>1.0949299649999999</v>
      </c>
      <c r="BL45" s="615">
        <v>1.0972253700000001</v>
      </c>
      <c r="BM45" s="615">
        <v>1.0995207739999999</v>
      </c>
      <c r="BN45" s="615">
        <v>1.1018161790000001</v>
      </c>
      <c r="BO45" s="615">
        <v>1.1041115829999999</v>
      </c>
      <c r="BP45" s="615">
        <v>1.106406988</v>
      </c>
      <c r="BQ45" s="615">
        <v>1.1087023920000001</v>
      </c>
      <c r="BR45" s="615">
        <v>1.1109977959999999</v>
      </c>
      <c r="BS45" s="615">
        <v>1.1132932010000001</v>
      </c>
      <c r="BT45" s="615">
        <v>1.1155886049999999</v>
      </c>
      <c r="BU45" s="615">
        <v>1.11788401</v>
      </c>
      <c r="BV45" s="615">
        <v>1.1201794140000001</v>
      </c>
      <c r="BW45" s="615">
        <v>1.122474819</v>
      </c>
      <c r="BX45" s="615">
        <v>1.1247702230000001</v>
      </c>
      <c r="BY45" s="615">
        <v>1.127065628</v>
      </c>
      <c r="BZ45" s="615">
        <v>1.129361032</v>
      </c>
      <c r="CA45" s="615">
        <v>1.131656437</v>
      </c>
      <c r="CB45" s="615">
        <v>1.133951841</v>
      </c>
      <c r="CC45" s="615">
        <v>1.1362472459999999</v>
      </c>
      <c r="CD45" s="615">
        <v>1.13854265</v>
      </c>
      <c r="CE45" s="615">
        <v>1.1408380549999999</v>
      </c>
      <c r="CF45" s="615">
        <v>1.143133459</v>
      </c>
      <c r="CG45" s="615">
        <v>1.145428863</v>
      </c>
      <c r="CH45" s="615">
        <v>1.145428863</v>
      </c>
      <c r="CI45" s="616">
        <v>1.145428863</v>
      </c>
      <c r="CJ45" s="1619"/>
      <c r="CK45" s="1620"/>
    </row>
    <row r="46" spans="1:89" s="1621" customFormat="1" x14ac:dyDescent="0.35">
      <c r="A46" s="1618"/>
      <c r="B46" s="634" t="s">
        <v>353</v>
      </c>
      <c r="C46" s="635" t="s">
        <v>354</v>
      </c>
      <c r="D46" s="636" t="s">
        <v>82</v>
      </c>
      <c r="E46" s="637" t="s">
        <v>305</v>
      </c>
      <c r="F46" s="638">
        <v>2</v>
      </c>
      <c r="G46" s="611">
        <v>36.453543599999996</v>
      </c>
      <c r="H46" s="611">
        <v>33.913543599999997</v>
      </c>
      <c r="I46" s="611">
        <v>34.03018256</v>
      </c>
      <c r="J46" s="611">
        <v>33.886843640000002</v>
      </c>
      <c r="K46" s="611">
        <v>33.676313270000001</v>
      </c>
      <c r="L46" s="611">
        <v>34.813497130000002</v>
      </c>
      <c r="M46" s="615">
        <v>35.764930139999997</v>
      </c>
      <c r="N46" s="615">
        <v>36.855423180000003</v>
      </c>
      <c r="O46" s="615">
        <v>37.920263319999997</v>
      </c>
      <c r="P46" s="615">
        <v>38.892621900000002</v>
      </c>
      <c r="Q46" s="615">
        <v>39.735608990000003</v>
      </c>
      <c r="R46" s="615">
        <v>40.450436269999997</v>
      </c>
      <c r="S46" s="615">
        <v>41.056342149999999</v>
      </c>
      <c r="T46" s="615">
        <v>41.66357352</v>
      </c>
      <c r="U46" s="615">
        <v>42.275803660000001</v>
      </c>
      <c r="V46" s="615">
        <v>42.843486290000001</v>
      </c>
      <c r="W46" s="615">
        <v>43.370849829999997</v>
      </c>
      <c r="X46" s="615">
        <v>43.86277132</v>
      </c>
      <c r="Y46" s="615">
        <v>44.361182700000001</v>
      </c>
      <c r="Z46" s="615">
        <v>44.833023310000002</v>
      </c>
      <c r="AA46" s="615">
        <v>45.30237984</v>
      </c>
      <c r="AB46" s="615">
        <v>45.755191179999997</v>
      </c>
      <c r="AC46" s="615">
        <v>46.190868629999997</v>
      </c>
      <c r="AD46" s="615">
        <v>46.613249199999998</v>
      </c>
      <c r="AE46" s="615">
        <v>47.014846220000003</v>
      </c>
      <c r="AF46" s="615">
        <v>47.391491039999998</v>
      </c>
      <c r="AG46" s="615">
        <v>47.74726441</v>
      </c>
      <c r="AH46" s="615">
        <v>48.089305580000001</v>
      </c>
      <c r="AI46" s="615">
        <v>48.414150659999997</v>
      </c>
      <c r="AJ46" s="615">
        <v>48.71776766</v>
      </c>
      <c r="AK46" s="615">
        <v>48.937318470000001</v>
      </c>
      <c r="AL46" s="615">
        <v>49.148801509999998</v>
      </c>
      <c r="AM46" s="615">
        <v>49.355498519999998</v>
      </c>
      <c r="AN46" s="615">
        <v>49.555399629999997</v>
      </c>
      <c r="AO46" s="615">
        <v>49.752856010000002</v>
      </c>
      <c r="AP46" s="615">
        <v>49.947018149999998</v>
      </c>
      <c r="AQ46" s="615">
        <v>50.137059540000003</v>
      </c>
      <c r="AR46" s="615">
        <v>50.316955890000003</v>
      </c>
      <c r="AS46" s="615">
        <v>50.48832874</v>
      </c>
      <c r="AT46" s="615">
        <v>50.656383439999999</v>
      </c>
      <c r="AU46" s="615">
        <v>50.818533389999999</v>
      </c>
      <c r="AV46" s="615">
        <v>50.975997560000003</v>
      </c>
      <c r="AW46" s="615">
        <v>51.130607189999999</v>
      </c>
      <c r="AX46" s="615">
        <v>51.28226179</v>
      </c>
      <c r="AY46" s="615">
        <v>51.4328146</v>
      </c>
      <c r="AZ46" s="615">
        <v>51.582596369999997</v>
      </c>
      <c r="BA46" s="615">
        <v>51.731154549999999</v>
      </c>
      <c r="BB46" s="615">
        <v>51.876823899999998</v>
      </c>
      <c r="BC46" s="615">
        <v>52.022206300000001</v>
      </c>
      <c r="BD46" s="615">
        <v>52.166606729999998</v>
      </c>
      <c r="BE46" s="615">
        <v>52.310493489999999</v>
      </c>
      <c r="BF46" s="615">
        <v>52.455911899999997</v>
      </c>
      <c r="BG46" s="615">
        <v>52.602484359999998</v>
      </c>
      <c r="BH46" s="615">
        <v>52.750452340000002</v>
      </c>
      <c r="BI46" s="615">
        <v>52.898380860000003</v>
      </c>
      <c r="BJ46" s="615">
        <v>53.0469857</v>
      </c>
      <c r="BK46" s="615">
        <v>53.195970559999999</v>
      </c>
      <c r="BL46" s="615">
        <v>53.346409059999999</v>
      </c>
      <c r="BM46" s="615">
        <v>53.499758460000002</v>
      </c>
      <c r="BN46" s="615">
        <v>53.655332559999998</v>
      </c>
      <c r="BO46" s="615">
        <v>53.814649580000001</v>
      </c>
      <c r="BP46" s="615">
        <v>53.976783449999999</v>
      </c>
      <c r="BQ46" s="615">
        <v>54.141748399999997</v>
      </c>
      <c r="BR46" s="615">
        <v>54.307050959999998</v>
      </c>
      <c r="BS46" s="615">
        <v>54.473573479999999</v>
      </c>
      <c r="BT46" s="615">
        <v>54.641018969999998</v>
      </c>
      <c r="BU46" s="615">
        <v>54.810085669999999</v>
      </c>
      <c r="BV46" s="615">
        <v>54.978172710000003</v>
      </c>
      <c r="BW46" s="615">
        <v>55.146485609999999</v>
      </c>
      <c r="BX46" s="615">
        <v>55.314906460000003</v>
      </c>
      <c r="BY46" s="615">
        <v>55.483998849999999</v>
      </c>
      <c r="BZ46" s="615">
        <v>55.652380700000002</v>
      </c>
      <c r="CA46" s="615">
        <v>55.820274589999997</v>
      </c>
      <c r="CB46" s="615">
        <v>55.985725430000002</v>
      </c>
      <c r="CC46" s="615">
        <v>56.150324750000003</v>
      </c>
      <c r="CD46" s="615">
        <v>56.312647910000003</v>
      </c>
      <c r="CE46" s="615">
        <v>56.472655330000002</v>
      </c>
      <c r="CF46" s="615">
        <v>56.629394130000001</v>
      </c>
      <c r="CG46" s="615">
        <v>56.78344422</v>
      </c>
      <c r="CH46" s="615">
        <v>56.93413915</v>
      </c>
      <c r="CI46" s="616">
        <v>60.00413915</v>
      </c>
      <c r="CJ46" s="1619"/>
      <c r="CK46" s="1620"/>
    </row>
    <row r="47" spans="1:89" s="1623" customFormat="1" x14ac:dyDescent="0.35">
      <c r="A47" s="1618"/>
      <c r="B47" s="634" t="s">
        <v>355</v>
      </c>
      <c r="C47" s="635" t="s">
        <v>356</v>
      </c>
      <c r="D47" s="636" t="s">
        <v>82</v>
      </c>
      <c r="E47" s="637" t="s">
        <v>305</v>
      </c>
      <c r="F47" s="638">
        <v>2</v>
      </c>
      <c r="G47" s="611">
        <v>18.811084109999999</v>
      </c>
      <c r="H47" s="611">
        <v>17.561084109999999</v>
      </c>
      <c r="I47" s="611">
        <v>16.572449890000001</v>
      </c>
      <c r="J47" s="611">
        <v>15.595511370000001</v>
      </c>
      <c r="K47" s="611">
        <v>14.65567714</v>
      </c>
      <c r="L47" s="611">
        <v>14.31509426</v>
      </c>
      <c r="M47" s="615">
        <v>13.973238889999999</v>
      </c>
      <c r="N47" s="615">
        <v>13.6386377</v>
      </c>
      <c r="O47" s="615">
        <v>13.30929901</v>
      </c>
      <c r="P47" s="615">
        <v>12.98191031</v>
      </c>
      <c r="Q47" s="615">
        <v>12.67673147</v>
      </c>
      <c r="R47" s="615">
        <v>12.370366949999999</v>
      </c>
      <c r="S47" s="615">
        <v>12.066166519999999</v>
      </c>
      <c r="T47" s="615">
        <v>11.76824044</v>
      </c>
      <c r="U47" s="615">
        <v>11.477339799999999</v>
      </c>
      <c r="V47" s="615">
        <v>11.193573880000001</v>
      </c>
      <c r="W47" s="615">
        <v>10.91287659</v>
      </c>
      <c r="X47" s="615">
        <v>10.64047869</v>
      </c>
      <c r="Y47" s="615">
        <v>10.378040950000001</v>
      </c>
      <c r="Z47" s="615">
        <v>10.1198698</v>
      </c>
      <c r="AA47" s="615">
        <v>9.8687469530000005</v>
      </c>
      <c r="AB47" s="615">
        <v>9.6252925220000005</v>
      </c>
      <c r="AC47" s="615">
        <v>9.3890150099999996</v>
      </c>
      <c r="AD47" s="615">
        <v>9.1599713749999996</v>
      </c>
      <c r="AE47" s="615">
        <v>8.9370136149999997</v>
      </c>
      <c r="AF47" s="615">
        <v>8.7192576380000002</v>
      </c>
      <c r="AG47" s="615">
        <v>8.5072037409999997</v>
      </c>
      <c r="AH47" s="615">
        <v>8.3012959320000004</v>
      </c>
      <c r="AI47" s="615">
        <v>8.1009868520000001</v>
      </c>
      <c r="AJ47" s="615">
        <v>7.9056585789999998</v>
      </c>
      <c r="AK47" s="615">
        <v>7.7269225879999999</v>
      </c>
      <c r="AL47" s="615">
        <v>7.552935271</v>
      </c>
      <c r="AM47" s="615">
        <v>7.3832138049999996</v>
      </c>
      <c r="AN47" s="615">
        <v>7.2176176920000001</v>
      </c>
      <c r="AO47" s="615">
        <v>7.055849748</v>
      </c>
      <c r="AP47" s="615">
        <v>6.8975352110000001</v>
      </c>
      <c r="AQ47" s="615">
        <v>6.7432752760000003</v>
      </c>
      <c r="AR47" s="615">
        <v>6.5933269299999999</v>
      </c>
      <c r="AS47" s="615">
        <v>6.4472711829999998</v>
      </c>
      <c r="AT47" s="615">
        <v>6.3046642689999999</v>
      </c>
      <c r="AU47" s="615">
        <v>6.1655136170000002</v>
      </c>
      <c r="AV47" s="615">
        <v>6.0298661989999998</v>
      </c>
      <c r="AW47" s="615">
        <v>5.8975002239999998</v>
      </c>
      <c r="AX47" s="615">
        <v>5.7681573789999998</v>
      </c>
      <c r="AY47" s="615">
        <v>5.6417990270000002</v>
      </c>
      <c r="AZ47" s="615">
        <v>5.5183997250000001</v>
      </c>
      <c r="BA47" s="615">
        <v>5.398167849</v>
      </c>
      <c r="BB47" s="615">
        <v>5.2810361510000003</v>
      </c>
      <c r="BC47" s="615">
        <v>5.1667874859999996</v>
      </c>
      <c r="BD47" s="615">
        <v>5.0553385390000001</v>
      </c>
      <c r="BE47" s="615">
        <v>4.9466094209999998</v>
      </c>
      <c r="BF47" s="615">
        <v>4.8405981520000001</v>
      </c>
      <c r="BG47" s="615">
        <v>4.7371765659999996</v>
      </c>
      <c r="BH47" s="615">
        <v>4.6363702389999997</v>
      </c>
      <c r="BI47" s="615">
        <v>4.5381687350000002</v>
      </c>
      <c r="BJ47" s="615">
        <v>4.4423677369999997</v>
      </c>
      <c r="BK47" s="615">
        <v>4.3490804120000002</v>
      </c>
      <c r="BL47" s="615">
        <v>4.2581705139999997</v>
      </c>
      <c r="BM47" s="615">
        <v>4.1694316999999996</v>
      </c>
      <c r="BN47" s="615">
        <v>4.0828585970000004</v>
      </c>
      <c r="BO47" s="615">
        <v>3.9982258599999998</v>
      </c>
      <c r="BP47" s="615">
        <v>3.9155660459999999</v>
      </c>
      <c r="BQ47" s="615">
        <v>3.8348453519999999</v>
      </c>
      <c r="BR47" s="615">
        <v>3.7561065299999998</v>
      </c>
      <c r="BS47" s="615">
        <v>3.679249999</v>
      </c>
      <c r="BT47" s="615">
        <v>3.6041815430000002</v>
      </c>
      <c r="BU47" s="615">
        <v>3.5308746750000002</v>
      </c>
      <c r="BV47" s="615">
        <v>3.4593299489999998</v>
      </c>
      <c r="BW47" s="615">
        <v>3.3894508280000002</v>
      </c>
      <c r="BX47" s="615">
        <v>3.321172368</v>
      </c>
      <c r="BY47" s="615">
        <v>3.2543864299999998</v>
      </c>
      <c r="BZ47" s="615">
        <v>3.1891728399999999</v>
      </c>
      <c r="CA47" s="615">
        <v>3.125500395</v>
      </c>
      <c r="CB47" s="615">
        <v>3.0634352260000002</v>
      </c>
      <c r="CC47" s="615">
        <v>3.0028185860000001</v>
      </c>
      <c r="CD47" s="615">
        <v>2.9436243279999998</v>
      </c>
      <c r="CE47" s="615">
        <v>2.8858507000000002</v>
      </c>
      <c r="CF47" s="615">
        <v>2.8295589780000001</v>
      </c>
      <c r="CG47" s="615">
        <v>2.7746814959999999</v>
      </c>
      <c r="CH47" s="615">
        <v>2.721151624</v>
      </c>
      <c r="CI47" s="616">
        <v>3.8111516239999998</v>
      </c>
      <c r="CJ47" s="1619"/>
      <c r="CK47" s="1622"/>
    </row>
    <row r="48" spans="1:89" s="1621" customFormat="1" ht="28" x14ac:dyDescent="0.35">
      <c r="A48" s="1618"/>
      <c r="B48" s="634" t="s">
        <v>357</v>
      </c>
      <c r="C48" s="635" t="s">
        <v>358</v>
      </c>
      <c r="D48" s="636" t="s">
        <v>82</v>
      </c>
      <c r="E48" s="637" t="s">
        <v>359</v>
      </c>
      <c r="F48" s="638">
        <v>1</v>
      </c>
      <c r="G48" s="639">
        <v>0</v>
      </c>
      <c r="H48" s="639">
        <v>0</v>
      </c>
      <c r="I48" s="639">
        <v>1E-3</v>
      </c>
      <c r="J48" s="639">
        <v>1E-3</v>
      </c>
      <c r="K48" s="639">
        <v>1E-3</v>
      </c>
      <c r="L48" s="639">
        <v>1E-3</v>
      </c>
      <c r="M48" s="640">
        <v>2E-3</v>
      </c>
      <c r="N48" s="640">
        <v>2E-3</v>
      </c>
      <c r="O48" s="640">
        <v>2E-3</v>
      </c>
      <c r="P48" s="640">
        <v>2E-3</v>
      </c>
      <c r="Q48" s="640">
        <v>3.0000000000000001E-3</v>
      </c>
      <c r="R48" s="640">
        <v>3.0000000000000001E-3</v>
      </c>
      <c r="S48" s="640">
        <v>3.0000000000000001E-3</v>
      </c>
      <c r="T48" s="640">
        <v>3.0000000000000001E-3</v>
      </c>
      <c r="U48" s="640">
        <v>4.0000000000000001E-3</v>
      </c>
      <c r="V48" s="640">
        <v>4.0000000000000001E-3</v>
      </c>
      <c r="W48" s="640">
        <v>4.0000000000000001E-3</v>
      </c>
      <c r="X48" s="640">
        <v>5.0000000000000001E-3</v>
      </c>
      <c r="Y48" s="640">
        <v>5.0000000000000001E-3</v>
      </c>
      <c r="Z48" s="640">
        <v>5.0000000000000001E-3</v>
      </c>
      <c r="AA48" s="640">
        <v>5.0000000000000001E-3</v>
      </c>
      <c r="AB48" s="640">
        <v>6.0000000000000001E-3</v>
      </c>
      <c r="AC48" s="640">
        <v>6.0000000000000001E-3</v>
      </c>
      <c r="AD48" s="640">
        <v>6.0000000000000001E-3</v>
      </c>
      <c r="AE48" s="640">
        <v>6.0000000000000001E-3</v>
      </c>
      <c r="AF48" s="640">
        <v>7.0000000000000001E-3</v>
      </c>
      <c r="AG48" s="640">
        <v>7.0000000000000001E-3</v>
      </c>
      <c r="AH48" s="640">
        <v>7.0000000000000001E-3</v>
      </c>
      <c r="AI48" s="640">
        <v>7.0000000000000001E-3</v>
      </c>
      <c r="AJ48" s="640">
        <v>8.0000000000000002E-3</v>
      </c>
      <c r="AK48" s="640">
        <v>8.0000000000000002E-3</v>
      </c>
      <c r="AL48" s="640">
        <v>8.0000000000000002E-3</v>
      </c>
      <c r="AM48" s="640">
        <v>8.0000000000000002E-3</v>
      </c>
      <c r="AN48" s="640">
        <v>8.9999999999999993E-3</v>
      </c>
      <c r="AO48" s="640">
        <v>8.9999999999999993E-3</v>
      </c>
      <c r="AP48" s="640">
        <v>8.9999999999999993E-3</v>
      </c>
      <c r="AQ48" s="640">
        <v>0.01</v>
      </c>
      <c r="AR48" s="640">
        <v>0.01</v>
      </c>
      <c r="AS48" s="640">
        <v>0.01</v>
      </c>
      <c r="AT48" s="640">
        <v>0.01</v>
      </c>
      <c r="AU48" s="640">
        <v>1.0999999999999999E-2</v>
      </c>
      <c r="AV48" s="640">
        <v>1.0999999999999999E-2</v>
      </c>
      <c r="AW48" s="640">
        <v>1.0999999999999999E-2</v>
      </c>
      <c r="AX48" s="640">
        <v>1.0999999999999999E-2</v>
      </c>
      <c r="AY48" s="640">
        <v>1.2E-2</v>
      </c>
      <c r="AZ48" s="640">
        <v>1.2E-2</v>
      </c>
      <c r="BA48" s="640">
        <v>1.2E-2</v>
      </c>
      <c r="BB48" s="640">
        <v>1.2E-2</v>
      </c>
      <c r="BC48" s="640">
        <v>1.2999999999999999E-2</v>
      </c>
      <c r="BD48" s="640">
        <v>1.2999999999999999E-2</v>
      </c>
      <c r="BE48" s="640">
        <v>1.2999999999999999E-2</v>
      </c>
      <c r="BF48" s="640">
        <v>1.2999999999999999E-2</v>
      </c>
      <c r="BG48" s="640">
        <v>1.4E-2</v>
      </c>
      <c r="BH48" s="640">
        <v>1.4E-2</v>
      </c>
      <c r="BI48" s="640">
        <v>1.4E-2</v>
      </c>
      <c r="BJ48" s="640">
        <v>1.4999999999999999E-2</v>
      </c>
      <c r="BK48" s="640">
        <v>1.4999999999999999E-2</v>
      </c>
      <c r="BL48" s="640">
        <v>1.4999999999999999E-2</v>
      </c>
      <c r="BM48" s="640">
        <v>1.4999999999999999E-2</v>
      </c>
      <c r="BN48" s="640">
        <v>1.6E-2</v>
      </c>
      <c r="BO48" s="640">
        <v>1.6E-2</v>
      </c>
      <c r="BP48" s="640">
        <v>1.6E-2</v>
      </c>
      <c r="BQ48" s="640">
        <v>1.6E-2</v>
      </c>
      <c r="BR48" s="640">
        <v>1.7000000000000001E-2</v>
      </c>
      <c r="BS48" s="640">
        <v>1.7000000000000001E-2</v>
      </c>
      <c r="BT48" s="640">
        <v>1.7000000000000001E-2</v>
      </c>
      <c r="BU48" s="640">
        <v>1.7000000000000001E-2</v>
      </c>
      <c r="BV48" s="640">
        <v>1.7999999999999999E-2</v>
      </c>
      <c r="BW48" s="640">
        <v>1.7999999999999999E-2</v>
      </c>
      <c r="BX48" s="640">
        <v>1.7999999999999999E-2</v>
      </c>
      <c r="BY48" s="640">
        <v>1.7999999999999999E-2</v>
      </c>
      <c r="BZ48" s="640">
        <v>1.9E-2</v>
      </c>
      <c r="CA48" s="640">
        <v>1.9E-2</v>
      </c>
      <c r="CB48" s="640">
        <v>1.9E-2</v>
      </c>
      <c r="CC48" s="640">
        <v>1.9E-2</v>
      </c>
      <c r="CD48" s="640">
        <v>0.02</v>
      </c>
      <c r="CE48" s="640">
        <v>0.02</v>
      </c>
      <c r="CF48" s="640">
        <v>0.02</v>
      </c>
      <c r="CG48" s="640">
        <v>0.02</v>
      </c>
      <c r="CH48" s="640">
        <v>2.1000000000000001E-2</v>
      </c>
      <c r="CI48" s="640">
        <v>2.1000000000000001E-2</v>
      </c>
      <c r="CJ48" s="1619"/>
      <c r="CK48" s="1620"/>
    </row>
    <row r="49" spans="1:89" s="64" customFormat="1" ht="28" x14ac:dyDescent="0.35">
      <c r="A49" s="58"/>
      <c r="B49" s="634" t="s">
        <v>360</v>
      </c>
      <c r="C49" s="635" t="s">
        <v>361</v>
      </c>
      <c r="D49" s="636" t="s">
        <v>362</v>
      </c>
      <c r="E49" s="637" t="s">
        <v>305</v>
      </c>
      <c r="F49" s="638">
        <v>2</v>
      </c>
      <c r="G49" s="642">
        <f>G48*(G43+SUM(G45:G47)-SUM(G55:G58))</f>
        <v>0</v>
      </c>
      <c r="H49" s="642">
        <f t="shared" ref="H49:AL49" si="14">H48*(SUM(H43:H47)-SUM(H55:H58))</f>
        <v>0</v>
      </c>
      <c r="I49" s="642">
        <f t="shared" si="14"/>
        <v>7.1229863059999995E-2</v>
      </c>
      <c r="J49" s="642">
        <f t="shared" si="14"/>
        <v>7.1149520670000008E-2</v>
      </c>
      <c r="K49" s="642">
        <f t="shared" si="14"/>
        <v>7.1260098790000004E-2</v>
      </c>
      <c r="L49" s="642">
        <f t="shared" si="14"/>
        <v>7.3029777060000009E-2</v>
      </c>
      <c r="M49" s="642">
        <f t="shared" si="14"/>
        <v>0.14857624234</v>
      </c>
      <c r="N49" s="642">
        <f t="shared" si="14"/>
        <v>0.15142252450000002</v>
      </c>
      <c r="O49" s="642">
        <f t="shared" si="14"/>
        <v>0.15421925489999999</v>
      </c>
      <c r="P49" s="642">
        <f t="shared" si="14"/>
        <v>0.15672705278000001</v>
      </c>
      <c r="Q49" s="642">
        <f t="shared" si="14"/>
        <v>0.23839468769999997</v>
      </c>
      <c r="R49" s="642">
        <f t="shared" si="14"/>
        <v>0.24132126117</v>
      </c>
      <c r="S49" s="642">
        <f t="shared" si="14"/>
        <v>0.24377493263999994</v>
      </c>
      <c r="T49" s="642">
        <f t="shared" si="14"/>
        <v>0.24615252993000003</v>
      </c>
      <c r="U49" s="642">
        <f t="shared" si="14"/>
        <v>0.33161228764</v>
      </c>
      <c r="V49" s="642">
        <f t="shared" si="14"/>
        <v>0.33460108008</v>
      </c>
      <c r="W49" s="642">
        <f t="shared" si="14"/>
        <v>0.33752622351999995</v>
      </c>
      <c r="X49" s="642">
        <f t="shared" si="14"/>
        <v>0.42546883694999998</v>
      </c>
      <c r="Y49" s="642">
        <f t="shared" si="14"/>
        <v>0.42899558120000003</v>
      </c>
      <c r="Z49" s="642">
        <f t="shared" si="14"/>
        <v>0.4322272278</v>
      </c>
      <c r="AA49" s="642">
        <f t="shared" si="14"/>
        <v>0.43370319388499995</v>
      </c>
      <c r="AB49" s="642">
        <f t="shared" si="14"/>
        <v>0.52216173132599986</v>
      </c>
      <c r="AC49" s="642">
        <f t="shared" si="14"/>
        <v>0.52381988815799996</v>
      </c>
      <c r="AD49" s="642">
        <f t="shared" si="14"/>
        <v>0.52544166697799988</v>
      </c>
      <c r="AE49" s="642">
        <f t="shared" si="14"/>
        <v>0.52697525974199999</v>
      </c>
      <c r="AF49" s="642">
        <f t="shared" si="14"/>
        <v>0.6164554083449999</v>
      </c>
      <c r="AG49" s="642">
        <f t="shared" si="14"/>
        <v>0.61800016139399994</v>
      </c>
      <c r="AH49" s="642">
        <f t="shared" si="14"/>
        <v>0.61949181166599998</v>
      </c>
      <c r="AI49" s="642">
        <f t="shared" si="14"/>
        <v>0.62090228040399997</v>
      </c>
      <c r="AJ49" s="642">
        <f t="shared" si="14"/>
        <v>0.71108459227200005</v>
      </c>
      <c r="AK49" s="642">
        <f t="shared" si="14"/>
        <v>0.71202678709599987</v>
      </c>
      <c r="AL49" s="642">
        <f t="shared" si="14"/>
        <v>0.71294242915999995</v>
      </c>
      <c r="AM49" s="642">
        <f t="shared" ref="AM49:BR49" si="15">AM48*(SUM(AM43:AM47)-SUM(AM55:AM58))</f>
        <v>0.71385390978399998</v>
      </c>
      <c r="AN49" s="642">
        <f t="shared" si="15"/>
        <v>0.80408702929499998</v>
      </c>
      <c r="AO49" s="642">
        <f t="shared" si="15"/>
        <v>0.80510086102499989</v>
      </c>
      <c r="AP49" s="642">
        <f t="shared" si="15"/>
        <v>0.80611612525799992</v>
      </c>
      <c r="AQ49" s="642">
        <f t="shared" si="15"/>
        <v>0.89681199352000007</v>
      </c>
      <c r="AR49" s="642">
        <f t="shared" si="15"/>
        <v>0.89788106890000008</v>
      </c>
      <c r="AS49" s="642">
        <f t="shared" si="15"/>
        <v>0.89890383528000006</v>
      </c>
      <c r="AT49" s="642">
        <f t="shared" si="15"/>
        <v>0.89992790848000004</v>
      </c>
      <c r="AU49" s="642">
        <f t="shared" si="15"/>
        <v>0.99102024660099985</v>
      </c>
      <c r="AV49" s="642">
        <f t="shared" si="15"/>
        <v>0.99210678574699995</v>
      </c>
      <c r="AW49" s="642">
        <f t="shared" si="15"/>
        <v>0.99319802083699993</v>
      </c>
      <c r="AX49" s="642">
        <f t="shared" si="15"/>
        <v>0.99429000501599984</v>
      </c>
      <c r="AY49" s="642">
        <f t="shared" si="15"/>
        <v>1.085893853388</v>
      </c>
      <c r="AZ49" s="642">
        <f t="shared" si="15"/>
        <v>1.0871339574119998</v>
      </c>
      <c r="BA49" s="642">
        <f t="shared" si="15"/>
        <v>1.0883973874800001</v>
      </c>
      <c r="BB49" s="642">
        <f t="shared" si="15"/>
        <v>1.0896633537119997</v>
      </c>
      <c r="BC49" s="642">
        <f t="shared" si="15"/>
        <v>1.181873845685</v>
      </c>
      <c r="BD49" s="642">
        <f t="shared" si="15"/>
        <v>1.1833026889189999</v>
      </c>
      <c r="BE49" s="642">
        <f t="shared" si="15"/>
        <v>1.1847602122069998</v>
      </c>
      <c r="BF49" s="642">
        <f t="shared" si="15"/>
        <v>1.1862729789949997</v>
      </c>
      <c r="BG49" s="642">
        <f t="shared" si="15"/>
        <v>1.279206292322</v>
      </c>
      <c r="BH49" s="642">
        <f t="shared" si="15"/>
        <v>1.280943988954</v>
      </c>
      <c r="BI49" s="642">
        <f t="shared" si="15"/>
        <v>1.282717600654</v>
      </c>
      <c r="BJ49" s="642">
        <f t="shared" si="15"/>
        <v>1.3762867370699998</v>
      </c>
      <c r="BK49" s="642">
        <f t="shared" si="15"/>
        <v>1.3782765931050001</v>
      </c>
      <c r="BL49" s="642">
        <f t="shared" si="15"/>
        <v>1.3803239151599997</v>
      </c>
      <c r="BM49" s="642">
        <f t="shared" si="15"/>
        <v>1.38244746696</v>
      </c>
      <c r="BN49" s="642">
        <f t="shared" si="15"/>
        <v>1.476945999936</v>
      </c>
      <c r="BO49" s="642">
        <f t="shared" si="15"/>
        <v>1.479372301008</v>
      </c>
      <c r="BP49" s="642">
        <f t="shared" si="15"/>
        <v>1.4818752384639999</v>
      </c>
      <c r="BQ49" s="642">
        <f t="shared" si="15"/>
        <v>1.4844544991039998</v>
      </c>
      <c r="BR49" s="642">
        <f t="shared" si="15"/>
        <v>1.580012800922</v>
      </c>
      <c r="BS49" s="642">
        <f t="shared" ref="BS49:CI49" si="16">BS48*(SUM(BS43:BS47)-SUM(BS55:BS58))</f>
        <v>1.5828454348300001</v>
      </c>
      <c r="BT49" s="642">
        <f t="shared" si="16"/>
        <v>1.5857241564859998</v>
      </c>
      <c r="BU49" s="642">
        <f t="shared" si="16"/>
        <v>1.5886603857250001</v>
      </c>
      <c r="BV49" s="642">
        <f t="shared" si="16"/>
        <v>1.6852340299139998</v>
      </c>
      <c r="BW49" s="642">
        <f t="shared" si="16"/>
        <v>1.6883911095659996</v>
      </c>
      <c r="BX49" s="642">
        <f t="shared" si="16"/>
        <v>1.691578944198</v>
      </c>
      <c r="BY49" s="642">
        <f t="shared" si="16"/>
        <v>1.6948057319639998</v>
      </c>
      <c r="BZ49" s="642">
        <f t="shared" si="16"/>
        <v>1.7923840340479997</v>
      </c>
      <c r="CA49" s="642">
        <f t="shared" si="16"/>
        <v>1.795826472668</v>
      </c>
      <c r="CB49" s="642">
        <f t="shared" si="16"/>
        <v>1.7992530315629998</v>
      </c>
      <c r="CC49" s="642">
        <f t="shared" si="16"/>
        <v>1.8026909336479999</v>
      </c>
      <c r="CD49" s="642">
        <f t="shared" si="16"/>
        <v>1.9011711725599998</v>
      </c>
      <c r="CE49" s="642">
        <f t="shared" si="16"/>
        <v>1.9047550391000001</v>
      </c>
      <c r="CF49" s="642">
        <f t="shared" si="16"/>
        <v>1.9083031713399998</v>
      </c>
      <c r="CG49" s="642">
        <f t="shared" si="16"/>
        <v>1.91182581418</v>
      </c>
      <c r="CH49" s="642">
        <f t="shared" si="16"/>
        <v>2.0094575711070002</v>
      </c>
      <c r="CI49" s="643">
        <f t="shared" si="16"/>
        <v>2.0968175711070001</v>
      </c>
      <c r="CJ49" s="1410"/>
      <c r="CK49" s="605"/>
    </row>
    <row r="50" spans="1:89" s="1621" customFormat="1" x14ac:dyDescent="0.35">
      <c r="A50" s="1618"/>
      <c r="B50" s="634" t="s">
        <v>363</v>
      </c>
      <c r="C50" s="644" t="s">
        <v>364</v>
      </c>
      <c r="D50" s="645" t="s">
        <v>365</v>
      </c>
      <c r="E50" s="646" t="s">
        <v>366</v>
      </c>
      <c r="F50" s="647">
        <v>1</v>
      </c>
      <c r="G50" s="648">
        <f>(((G46-G57))*1000000)/((G79)*1000)</f>
        <v>147.32320752916601</v>
      </c>
      <c r="H50" s="648">
        <f t="shared" ref="H50:BS51" si="17">(((H46-H57))*1000000)/((H79)*1000)</f>
        <v>132.1450184492991</v>
      </c>
      <c r="I50" s="648">
        <f t="shared" si="17"/>
        <v>127.95334107069883</v>
      </c>
      <c r="J50" s="648">
        <f t="shared" si="17"/>
        <v>121.93533542865461</v>
      </c>
      <c r="K50" s="648">
        <f t="shared" si="17"/>
        <v>116.9425718645527</v>
      </c>
      <c r="L50" s="648">
        <f t="shared" si="17"/>
        <v>117.18809407928293</v>
      </c>
      <c r="M50" s="649">
        <f t="shared" si="17"/>
        <v>116.61266203887689</v>
      </c>
      <c r="N50" s="649">
        <f t="shared" si="17"/>
        <v>117.26622319119922</v>
      </c>
      <c r="O50" s="649">
        <f t="shared" si="17"/>
        <v>117.36105701725585</v>
      </c>
      <c r="P50" s="649">
        <f t="shared" si="17"/>
        <v>117.25939476349424</v>
      </c>
      <c r="Q50" s="649">
        <f t="shared" si="17"/>
        <v>117.0928269786925</v>
      </c>
      <c r="R50" s="649">
        <f t="shared" si="17"/>
        <v>116.62336054194213</v>
      </c>
      <c r="S50" s="649">
        <f t="shared" si="17"/>
        <v>116.2627247311102</v>
      </c>
      <c r="T50" s="649">
        <f t="shared" si="17"/>
        <v>116.24542240541037</v>
      </c>
      <c r="U50" s="649">
        <f t="shared" si="17"/>
        <v>116.21773528515921</v>
      </c>
      <c r="V50" s="649">
        <f t="shared" si="17"/>
        <v>116.02541389771885</v>
      </c>
      <c r="W50" s="649">
        <f t="shared" si="17"/>
        <v>115.90099001590923</v>
      </c>
      <c r="X50" s="649">
        <f t="shared" si="17"/>
        <v>115.82594258617749</v>
      </c>
      <c r="Y50" s="649">
        <f t="shared" si="17"/>
        <v>115.86197885256463</v>
      </c>
      <c r="Z50" s="649">
        <f t="shared" si="17"/>
        <v>115.78060715339329</v>
      </c>
      <c r="AA50" s="649">
        <f t="shared" si="17"/>
        <v>115.79423222598709</v>
      </c>
      <c r="AB50" s="649">
        <f t="shared" si="17"/>
        <v>115.76850227280093</v>
      </c>
      <c r="AC50" s="649">
        <f t="shared" si="17"/>
        <v>115.7301386127122</v>
      </c>
      <c r="AD50" s="649">
        <f t="shared" si="17"/>
        <v>115.69306034593551</v>
      </c>
      <c r="AE50" s="649">
        <f t="shared" si="17"/>
        <v>115.62392667286427</v>
      </c>
      <c r="AF50" s="649">
        <f t="shared" si="17"/>
        <v>115.54166426873554</v>
      </c>
      <c r="AG50" s="649">
        <f t="shared" si="17"/>
        <v>115.47662765755203</v>
      </c>
      <c r="AH50" s="649">
        <f t="shared" si="17"/>
        <v>115.42906661626994</v>
      </c>
      <c r="AI50" s="649">
        <f t="shared" si="17"/>
        <v>115.36433704179861</v>
      </c>
      <c r="AJ50" s="649">
        <f t="shared" si="17"/>
        <v>115.28575871313004</v>
      </c>
      <c r="AK50" s="649">
        <f t="shared" si="17"/>
        <v>115.05290537106656</v>
      </c>
      <c r="AL50" s="649">
        <f t="shared" si="17"/>
        <v>115.13889425584533</v>
      </c>
      <c r="AM50" s="649">
        <f t="shared" si="17"/>
        <v>115.22646721845435</v>
      </c>
      <c r="AN50" s="649">
        <f t="shared" si="17"/>
        <v>115.30751412699799</v>
      </c>
      <c r="AO50" s="649">
        <f t="shared" si="17"/>
        <v>115.39806594423224</v>
      </c>
      <c r="AP50" s="649">
        <f t="shared" si="17"/>
        <v>115.48839024602661</v>
      </c>
      <c r="AQ50" s="649">
        <f t="shared" si="17"/>
        <v>115.5827781930368</v>
      </c>
      <c r="AR50" s="649">
        <f t="shared" si="17"/>
        <v>115.65856689680638</v>
      </c>
      <c r="AS50" s="649">
        <f t="shared" si="17"/>
        <v>115.72843509981341</v>
      </c>
      <c r="AT50" s="649">
        <f t="shared" si="17"/>
        <v>115.80565893866675</v>
      </c>
      <c r="AU50" s="649">
        <f t="shared" si="17"/>
        <v>115.87711548432949</v>
      </c>
      <c r="AV50" s="649">
        <f t="shared" si="17"/>
        <v>115.95039638043635</v>
      </c>
      <c r="AW50" s="649">
        <f t="shared" si="17"/>
        <v>116.02480366939291</v>
      </c>
      <c r="AX50" s="649">
        <f t="shared" si="17"/>
        <v>116.10022979169862</v>
      </c>
      <c r="AY50" s="649">
        <f t="shared" si="17"/>
        <v>116.18446880455937</v>
      </c>
      <c r="AZ50" s="649">
        <f t="shared" si="17"/>
        <v>116.27347493353042</v>
      </c>
      <c r="BA50" s="649">
        <f t="shared" si="17"/>
        <v>116.36463342043106</v>
      </c>
      <c r="BB50" s="649">
        <f t="shared" si="17"/>
        <v>116.44982770905905</v>
      </c>
      <c r="BC50" s="649">
        <f t="shared" si="17"/>
        <v>116.53872036321316</v>
      </c>
      <c r="BD50" s="649">
        <f t="shared" si="17"/>
        <v>116.6262701128033</v>
      </c>
      <c r="BE50" s="649">
        <f t="shared" si="17"/>
        <v>116.71538791313407</v>
      </c>
      <c r="BF50" s="649">
        <f t="shared" si="17"/>
        <v>116.8099876703359</v>
      </c>
      <c r="BG50" s="649">
        <f t="shared" si="17"/>
        <v>116.90308246985373</v>
      </c>
      <c r="BH50" s="649">
        <f t="shared" si="17"/>
        <v>116.9973345633687</v>
      </c>
      <c r="BI50" s="649">
        <f t="shared" si="17"/>
        <v>117.08683857441528</v>
      </c>
      <c r="BJ50" s="649">
        <f t="shared" si="17"/>
        <v>117.17520643098209</v>
      </c>
      <c r="BK50" s="649">
        <f t="shared" si="17"/>
        <v>117.2631709727908</v>
      </c>
      <c r="BL50" s="649">
        <f t="shared" si="17"/>
        <v>117.3497985061874</v>
      </c>
      <c r="BM50" s="649">
        <f t="shared" si="17"/>
        <v>117.43759598896777</v>
      </c>
      <c r="BN50" s="649">
        <f t="shared" si="17"/>
        <v>117.52516311931014</v>
      </c>
      <c r="BO50" s="649">
        <f t="shared" si="17"/>
        <v>117.61633569557311</v>
      </c>
      <c r="BP50" s="649">
        <f t="shared" si="17"/>
        <v>117.70992288875505</v>
      </c>
      <c r="BQ50" s="649">
        <f t="shared" si="17"/>
        <v>117.80605830820758</v>
      </c>
      <c r="BR50" s="649">
        <f t="shared" si="17"/>
        <v>117.89865655775708</v>
      </c>
      <c r="BS50" s="649">
        <f t="shared" si="17"/>
        <v>117.99286698263295</v>
      </c>
      <c r="BT50" s="649">
        <f t="shared" ref="BT50:CI51" si="18">(((BT46-BT57))*1000000)/((BT79)*1000)</f>
        <v>118.08739152640167</v>
      </c>
      <c r="BU50" s="649">
        <f t="shared" si="18"/>
        <v>118.18582704656386</v>
      </c>
      <c r="BV50" s="649">
        <f t="shared" si="18"/>
        <v>118.28025808574672</v>
      </c>
      <c r="BW50" s="649">
        <f t="shared" si="18"/>
        <v>118.37788866954111</v>
      </c>
      <c r="BX50" s="649">
        <f t="shared" si="18"/>
        <v>118.47736724720464</v>
      </c>
      <c r="BY50" s="649">
        <f t="shared" si="18"/>
        <v>118.58099127772381</v>
      </c>
      <c r="BZ50" s="649">
        <f t="shared" si="18"/>
        <v>118.68665209409913</v>
      </c>
      <c r="CA50" s="649">
        <f t="shared" si="18"/>
        <v>118.79425370118898</v>
      </c>
      <c r="CB50" s="649">
        <f t="shared" si="18"/>
        <v>118.89869641322768</v>
      </c>
      <c r="CC50" s="649">
        <f t="shared" si="18"/>
        <v>119.00429121386757</v>
      </c>
      <c r="CD50" s="649">
        <f t="shared" si="18"/>
        <v>119.10835585320699</v>
      </c>
      <c r="CE50" s="649">
        <f t="shared" si="18"/>
        <v>119.21358152105223</v>
      </c>
      <c r="CF50" s="649">
        <f t="shared" si="18"/>
        <v>119.31675393465085</v>
      </c>
      <c r="CG50" s="649">
        <f t="shared" si="18"/>
        <v>119.41766847288092</v>
      </c>
      <c r="CH50" s="649">
        <f t="shared" si="18"/>
        <v>119.5145950262883</v>
      </c>
      <c r="CI50" s="643">
        <f t="shared" si="18"/>
        <v>126.04069954755894</v>
      </c>
      <c r="CJ50" s="1619"/>
      <c r="CK50" s="1620"/>
    </row>
    <row r="51" spans="1:89" s="1621" customFormat="1" x14ac:dyDescent="0.35">
      <c r="A51" s="1618"/>
      <c r="B51" s="634" t="s">
        <v>367</v>
      </c>
      <c r="C51" s="644" t="s">
        <v>368</v>
      </c>
      <c r="D51" s="645" t="s">
        <v>369</v>
      </c>
      <c r="E51" s="646" t="s">
        <v>366</v>
      </c>
      <c r="F51" s="647">
        <v>1</v>
      </c>
      <c r="G51" s="648">
        <f>(((G47-G58))*1000000)/((G80)*1000)</f>
        <v>181.55916139653203</v>
      </c>
      <c r="H51" s="648">
        <f t="shared" si="17"/>
        <v>171.81302990333134</v>
      </c>
      <c r="I51" s="648">
        <f t="shared" si="17"/>
        <v>160.66355796866674</v>
      </c>
      <c r="J51" s="648">
        <f t="shared" si="17"/>
        <v>152.43123924245481</v>
      </c>
      <c r="K51" s="648">
        <f t="shared" si="17"/>
        <v>144.92814179324827</v>
      </c>
      <c r="L51" s="648">
        <f t="shared" si="17"/>
        <v>143.71749957099649</v>
      </c>
      <c r="M51" s="649">
        <f t="shared" si="17"/>
        <v>142.48487016482275</v>
      </c>
      <c r="N51" s="649">
        <f t="shared" si="17"/>
        <v>141.45053296436154</v>
      </c>
      <c r="O51" s="649">
        <f t="shared" si="17"/>
        <v>140.39820278737872</v>
      </c>
      <c r="P51" s="649">
        <f t="shared" si="17"/>
        <v>139.30189786651891</v>
      </c>
      <c r="Q51" s="649">
        <f t="shared" si="17"/>
        <v>138.48354422608946</v>
      </c>
      <c r="R51" s="649">
        <f t="shared" si="17"/>
        <v>137.59797411487978</v>
      </c>
      <c r="S51" s="649">
        <f t="shared" si="17"/>
        <v>136.80591056968208</v>
      </c>
      <c r="T51" s="649">
        <f t="shared" si="17"/>
        <v>136.06497855842977</v>
      </c>
      <c r="U51" s="649">
        <f t="shared" si="17"/>
        <v>135.28650417219967</v>
      </c>
      <c r="V51" s="649">
        <f t="shared" si="17"/>
        <v>134.46499045384002</v>
      </c>
      <c r="W51" s="649">
        <f t="shared" si="17"/>
        <v>133.65596085013954</v>
      </c>
      <c r="X51" s="649">
        <f t="shared" si="17"/>
        <v>132.96874508963157</v>
      </c>
      <c r="Y51" s="649">
        <f t="shared" si="17"/>
        <v>132.29476697525052</v>
      </c>
      <c r="Z51" s="649">
        <f t="shared" si="17"/>
        <v>131.4946081895028</v>
      </c>
      <c r="AA51" s="649">
        <f t="shared" si="17"/>
        <v>130.77841594862841</v>
      </c>
      <c r="AB51" s="649">
        <f t="shared" si="17"/>
        <v>130.06620762555775</v>
      </c>
      <c r="AC51" s="649">
        <f t="shared" si="17"/>
        <v>129.32586750150381</v>
      </c>
      <c r="AD51" s="649">
        <f t="shared" si="17"/>
        <v>128.56918142002681</v>
      </c>
      <c r="AE51" s="649">
        <f t="shared" si="17"/>
        <v>127.770551377988</v>
      </c>
      <c r="AF51" s="649">
        <f t="shared" si="17"/>
        <v>126.94885189144266</v>
      </c>
      <c r="AG51" s="649">
        <f t="shared" si="17"/>
        <v>126.14048085293928</v>
      </c>
      <c r="AH51" s="649">
        <f t="shared" si="17"/>
        <v>125.33311813010603</v>
      </c>
      <c r="AI51" s="649">
        <f t="shared" si="17"/>
        <v>124.49718224968919</v>
      </c>
      <c r="AJ51" s="649">
        <f t="shared" si="17"/>
        <v>123.63794917944439</v>
      </c>
      <c r="AK51" s="649">
        <f t="shared" si="17"/>
        <v>122.99403696448663</v>
      </c>
      <c r="AL51" s="649">
        <f t="shared" si="17"/>
        <v>122.26720382189288</v>
      </c>
      <c r="AM51" s="649">
        <f t="shared" si="17"/>
        <v>121.51300163192174</v>
      </c>
      <c r="AN51" s="649">
        <f t="shared" si="17"/>
        <v>120.7448227636129</v>
      </c>
      <c r="AO51" s="649">
        <f t="shared" si="17"/>
        <v>119.95995343936481</v>
      </c>
      <c r="AP51" s="649">
        <f t="shared" si="17"/>
        <v>119.1603618763319</v>
      </c>
      <c r="AQ51" s="649">
        <f t="shared" si="17"/>
        <v>118.37223279466743</v>
      </c>
      <c r="AR51" s="649">
        <f t="shared" si="17"/>
        <v>117.57455940277114</v>
      </c>
      <c r="AS51" s="649">
        <f t="shared" si="17"/>
        <v>116.74498340632806</v>
      </c>
      <c r="AT51" s="649">
        <f t="shared" si="17"/>
        <v>115.88894703128025</v>
      </c>
      <c r="AU51" s="649">
        <f t="shared" si="17"/>
        <v>115.02379437812763</v>
      </c>
      <c r="AV51" s="649">
        <f t="shared" si="17"/>
        <v>114.14845082670415</v>
      </c>
      <c r="AW51" s="649">
        <f t="shared" si="17"/>
        <v>113.25356534677259</v>
      </c>
      <c r="AX51" s="649">
        <f t="shared" si="17"/>
        <v>112.34095006752895</v>
      </c>
      <c r="AY51" s="649">
        <f t="shared" si="17"/>
        <v>111.41977195513768</v>
      </c>
      <c r="AZ51" s="649">
        <f t="shared" si="17"/>
        <v>110.48951621588866</v>
      </c>
      <c r="BA51" s="649">
        <f t="shared" si="17"/>
        <v>109.5551553249538</v>
      </c>
      <c r="BB51" s="649">
        <f t="shared" si="17"/>
        <v>108.60313920051139</v>
      </c>
      <c r="BC51" s="649">
        <f t="shared" si="17"/>
        <v>107.62906673162132</v>
      </c>
      <c r="BD51" s="649">
        <f t="shared" si="17"/>
        <v>106.63967161799673</v>
      </c>
      <c r="BE51" s="649">
        <f t="shared" si="17"/>
        <v>105.63525680615916</v>
      </c>
      <c r="BF51" s="649">
        <f t="shared" si="17"/>
        <v>104.61824788148334</v>
      </c>
      <c r="BG51" s="649">
        <f t="shared" si="17"/>
        <v>103.58343816908948</v>
      </c>
      <c r="BH51" s="649">
        <f t="shared" si="17"/>
        <v>102.53677308268759</v>
      </c>
      <c r="BI51" s="649">
        <f t="shared" si="17"/>
        <v>101.47510373364709</v>
      </c>
      <c r="BJ51" s="649">
        <f t="shared" si="17"/>
        <v>100.39120741091971</v>
      </c>
      <c r="BK51" s="649">
        <f t="shared" si="17"/>
        <v>99.298348447682741</v>
      </c>
      <c r="BL51" s="649">
        <f t="shared" si="17"/>
        <v>98.184590166032436</v>
      </c>
      <c r="BM51" s="649">
        <f t="shared" si="17"/>
        <v>97.049455506221335</v>
      </c>
      <c r="BN51" s="649">
        <f t="shared" si="17"/>
        <v>95.903128185975731</v>
      </c>
      <c r="BO51" s="649">
        <f t="shared" si="17"/>
        <v>94.737100566529037</v>
      </c>
      <c r="BP51" s="649">
        <f t="shared" si="17"/>
        <v>93.564287097062689</v>
      </c>
      <c r="BQ51" s="649">
        <f t="shared" si="17"/>
        <v>92.380503528770191</v>
      </c>
      <c r="BR51" s="649">
        <f t="shared" si="17"/>
        <v>91.188179062638625</v>
      </c>
      <c r="BS51" s="649">
        <f t="shared" si="17"/>
        <v>89.980143809367163</v>
      </c>
      <c r="BT51" s="649">
        <f t="shared" si="18"/>
        <v>88.757878890323013</v>
      </c>
      <c r="BU51" s="649">
        <f t="shared" si="18"/>
        <v>87.525106284764334</v>
      </c>
      <c r="BV51" s="649">
        <f t="shared" si="18"/>
        <v>86.28253322365758</v>
      </c>
      <c r="BW51" s="649">
        <f t="shared" si="18"/>
        <v>85.025508549696411</v>
      </c>
      <c r="BX51" s="649">
        <f t="shared" si="18"/>
        <v>83.756587115730881</v>
      </c>
      <c r="BY51" s="649">
        <f t="shared" si="18"/>
        <v>82.474642178978613</v>
      </c>
      <c r="BZ51" s="649">
        <f t="shared" si="18"/>
        <v>81.188868871891501</v>
      </c>
      <c r="CA51" s="649">
        <f t="shared" si="18"/>
        <v>79.892182785074638</v>
      </c>
      <c r="CB51" s="649">
        <f t="shared" si="18"/>
        <v>78.588667055086304</v>
      </c>
      <c r="CC51" s="649">
        <f t="shared" si="18"/>
        <v>77.266735679190845</v>
      </c>
      <c r="CD51" s="649">
        <f t="shared" si="18"/>
        <v>75.934858976802374</v>
      </c>
      <c r="CE51" s="649">
        <f t="shared" si="18"/>
        <v>74.594080386324592</v>
      </c>
      <c r="CF51" s="649">
        <f t="shared" si="18"/>
        <v>73.246779863002402</v>
      </c>
      <c r="CG51" s="649">
        <f t="shared" si="18"/>
        <v>71.885563149441055</v>
      </c>
      <c r="CH51" s="649">
        <f t="shared" si="18"/>
        <v>70.511496286563045</v>
      </c>
      <c r="CI51" s="643">
        <f t="shared" si="18"/>
        <v>122.8789919405022</v>
      </c>
      <c r="CJ51" s="1619"/>
      <c r="CK51" s="1620"/>
    </row>
    <row r="52" spans="1:89" s="1621" customFormat="1" ht="28" x14ac:dyDescent="0.35">
      <c r="A52" s="1618"/>
      <c r="B52" s="634" t="s">
        <v>370</v>
      </c>
      <c r="C52" s="644" t="s">
        <v>371</v>
      </c>
      <c r="D52" s="645" t="s">
        <v>372</v>
      </c>
      <c r="E52" s="646" t="s">
        <v>366</v>
      </c>
      <c r="F52" s="647">
        <v>1</v>
      </c>
      <c r="G52" s="648">
        <f>(((G46-G57)+(G47-G58))*1000000)/((G79+G80)*1000)</f>
        <v>157.45232109279306</v>
      </c>
      <c r="H52" s="648">
        <f t="shared" ref="H52:BS52" si="19">(((H46-H57)+(H47-H58))*1000000)/((H79+H80)*1000)</f>
        <v>143.50899656602431</v>
      </c>
      <c r="I52" s="648">
        <f t="shared" si="19"/>
        <v>137.14817351732324</v>
      </c>
      <c r="J52" s="648">
        <f t="shared" si="19"/>
        <v>130.16298854946021</v>
      </c>
      <c r="K52" s="648">
        <f t="shared" si="19"/>
        <v>124.20933472963576</v>
      </c>
      <c r="L52" s="648">
        <f t="shared" si="19"/>
        <v>123.81872143538924</v>
      </c>
      <c r="M52" s="649">
        <f t="shared" si="19"/>
        <v>122.83042262926138</v>
      </c>
      <c r="N52" s="649">
        <f t="shared" si="19"/>
        <v>122.87707346911434</v>
      </c>
      <c r="O52" s="649">
        <f t="shared" si="19"/>
        <v>122.50617298223013</v>
      </c>
      <c r="P52" s="649">
        <f t="shared" si="19"/>
        <v>122.0024534138183</v>
      </c>
      <c r="Q52" s="649">
        <f t="shared" si="19"/>
        <v>121.5358297277316</v>
      </c>
      <c r="R52" s="649">
        <f t="shared" si="19"/>
        <v>120.83073125703692</v>
      </c>
      <c r="S52" s="649">
        <f t="shared" si="19"/>
        <v>120.25057843403781</v>
      </c>
      <c r="T52" s="649">
        <f t="shared" si="19"/>
        <v>119.97564286889057</v>
      </c>
      <c r="U52" s="649">
        <f t="shared" si="19"/>
        <v>119.69721788782206</v>
      </c>
      <c r="V52" s="649">
        <f t="shared" si="19"/>
        <v>119.28731833548116</v>
      </c>
      <c r="W52" s="649">
        <f t="shared" si="19"/>
        <v>118.94832340639655</v>
      </c>
      <c r="X52" s="649">
        <f t="shared" si="19"/>
        <v>118.68157861496603</v>
      </c>
      <c r="Y52" s="649">
        <f t="shared" si="19"/>
        <v>118.52077497954808</v>
      </c>
      <c r="Z52" s="649">
        <f t="shared" si="19"/>
        <v>118.25056988287034</v>
      </c>
      <c r="AA52" s="649">
        <f t="shared" si="19"/>
        <v>118.08265377777663</v>
      </c>
      <c r="AB52" s="649">
        <f t="shared" si="19"/>
        <v>117.89023573450982</v>
      </c>
      <c r="AC52" s="649">
        <f t="shared" si="19"/>
        <v>117.69142107920432</v>
      </c>
      <c r="AD52" s="649">
        <f t="shared" si="19"/>
        <v>117.49948523115077</v>
      </c>
      <c r="AE52" s="649">
        <f t="shared" si="19"/>
        <v>117.28183149660926</v>
      </c>
      <c r="AF52" s="649">
        <f t="shared" si="19"/>
        <v>117.05706989359535</v>
      </c>
      <c r="AG52" s="649">
        <f t="shared" si="19"/>
        <v>116.85597615049318</v>
      </c>
      <c r="AH52" s="649">
        <f t="shared" si="19"/>
        <v>116.67689098521691</v>
      </c>
      <c r="AI52" s="649">
        <f t="shared" si="19"/>
        <v>116.48553990135325</v>
      </c>
      <c r="AJ52" s="649">
        <f t="shared" si="19"/>
        <v>116.28524257905312</v>
      </c>
      <c r="AK52" s="649">
        <f t="shared" si="19"/>
        <v>115.97954990802738</v>
      </c>
      <c r="AL52" s="649">
        <f t="shared" si="19"/>
        <v>115.95256308403</v>
      </c>
      <c r="AM52" s="649">
        <f t="shared" si="19"/>
        <v>115.92857778795641</v>
      </c>
      <c r="AN52" s="649">
        <f t="shared" si="19"/>
        <v>115.90175192794976</v>
      </c>
      <c r="AO52" s="649">
        <f t="shared" si="19"/>
        <v>115.88600576429539</v>
      </c>
      <c r="AP52" s="649">
        <f t="shared" si="19"/>
        <v>115.87278616624781</v>
      </c>
      <c r="AQ52" s="649">
        <f t="shared" si="19"/>
        <v>115.86857069582139</v>
      </c>
      <c r="AR52" s="649">
        <f t="shared" si="19"/>
        <v>115.85071658322492</v>
      </c>
      <c r="AS52" s="649">
        <f t="shared" si="19"/>
        <v>115.82825891192878</v>
      </c>
      <c r="AT52" s="649">
        <f t="shared" si="19"/>
        <v>115.81366936832841</v>
      </c>
      <c r="AU52" s="649">
        <f t="shared" si="19"/>
        <v>115.79672865553299</v>
      </c>
      <c r="AV52" s="649">
        <f t="shared" si="19"/>
        <v>115.78410230108065</v>
      </c>
      <c r="AW52" s="649">
        <f t="shared" si="19"/>
        <v>115.77422744029491</v>
      </c>
      <c r="AX52" s="649">
        <f t="shared" si="19"/>
        <v>115.76714891207614</v>
      </c>
      <c r="AY52" s="649">
        <f t="shared" si="19"/>
        <v>115.77076468096507</v>
      </c>
      <c r="AZ52" s="649">
        <f t="shared" si="19"/>
        <v>115.78131194498148</v>
      </c>
      <c r="BA52" s="649">
        <f t="shared" si="19"/>
        <v>115.79676267475089</v>
      </c>
      <c r="BB52" s="649">
        <f t="shared" si="19"/>
        <v>115.80842022532917</v>
      </c>
      <c r="BC52" s="649">
        <f t="shared" si="19"/>
        <v>115.82472242827676</v>
      </c>
      <c r="BD52" s="649">
        <f t="shared" si="19"/>
        <v>115.84160773927248</v>
      </c>
      <c r="BE52" s="649">
        <f t="shared" si="19"/>
        <v>115.86172776871933</v>
      </c>
      <c r="BF52" s="649">
        <f t="shared" si="19"/>
        <v>115.88885437242895</v>
      </c>
      <c r="BG52" s="649">
        <f t="shared" si="19"/>
        <v>115.91611748886258</v>
      </c>
      <c r="BH52" s="649">
        <f t="shared" si="19"/>
        <v>115.94639357918594</v>
      </c>
      <c r="BI52" s="649">
        <f t="shared" si="19"/>
        <v>115.97389769221246</v>
      </c>
      <c r="BJ52" s="649">
        <f t="shared" si="19"/>
        <v>116.00136687751535</v>
      </c>
      <c r="BK52" s="649">
        <f t="shared" si="19"/>
        <v>116.03043840013578</v>
      </c>
      <c r="BL52" s="649">
        <f t="shared" si="19"/>
        <v>116.05928591113346</v>
      </c>
      <c r="BM52" s="649">
        <f t="shared" si="19"/>
        <v>116.09024220331096</v>
      </c>
      <c r="BN52" s="649">
        <f t="shared" si="19"/>
        <v>116.12275197269973</v>
      </c>
      <c r="BO52" s="649">
        <f t="shared" si="19"/>
        <v>116.15977500644186</v>
      </c>
      <c r="BP52" s="649">
        <f t="shared" si="19"/>
        <v>116.20113582536341</v>
      </c>
      <c r="BQ52" s="649">
        <f t="shared" si="19"/>
        <v>116.24658916588209</v>
      </c>
      <c r="BR52" s="649">
        <f t="shared" si="19"/>
        <v>116.29052048646236</v>
      </c>
      <c r="BS52" s="649">
        <f t="shared" si="19"/>
        <v>116.33715349591805</v>
      </c>
      <c r="BT52" s="649">
        <f t="shared" ref="BT52:CI52" si="20">(((BT46-BT57)+(BT47-BT58))*1000000)/((BT79+BT80)*1000)</f>
        <v>116.38538083365984</v>
      </c>
      <c r="BU52" s="649">
        <f t="shared" si="20"/>
        <v>116.43879790950018</v>
      </c>
      <c r="BV52" s="649">
        <f t="shared" si="20"/>
        <v>116.48994754808932</v>
      </c>
      <c r="BW52" s="649">
        <f t="shared" si="20"/>
        <v>116.54520373145958</v>
      </c>
      <c r="BX52" s="649">
        <f t="shared" si="20"/>
        <v>116.60348189822267</v>
      </c>
      <c r="BY52" s="649">
        <f t="shared" si="20"/>
        <v>116.66688243971706</v>
      </c>
      <c r="BZ52" s="649">
        <f t="shared" si="20"/>
        <v>116.73395000069146</v>
      </c>
      <c r="CA52" s="649">
        <f t="shared" si="20"/>
        <v>116.80402183658916</v>
      </c>
      <c r="CB52" s="649">
        <f t="shared" si="20"/>
        <v>116.87242247617651</v>
      </c>
      <c r="CC52" s="649">
        <f t="shared" si="20"/>
        <v>116.94243281323874</v>
      </c>
      <c r="CD52" s="649">
        <f t="shared" si="20"/>
        <v>117.01207372316154</v>
      </c>
      <c r="CE52" s="649">
        <f t="shared" si="20"/>
        <v>117.08384964172319</v>
      </c>
      <c r="CF52" s="649">
        <f t="shared" si="20"/>
        <v>117.15472435260273</v>
      </c>
      <c r="CG52" s="649">
        <f t="shared" si="20"/>
        <v>117.22394472866387</v>
      </c>
      <c r="CH52" s="649">
        <f t="shared" si="20"/>
        <v>117.28992021212717</v>
      </c>
      <c r="CI52" s="643">
        <f t="shared" si="20"/>
        <v>125.89947590793275</v>
      </c>
      <c r="CJ52" s="1619"/>
      <c r="CK52" s="1620"/>
    </row>
    <row r="53" spans="1:89" s="1621" customFormat="1" x14ac:dyDescent="0.35">
      <c r="A53" s="1618"/>
      <c r="B53" s="634" t="s">
        <v>373</v>
      </c>
      <c r="C53" s="644" t="s">
        <v>374</v>
      </c>
      <c r="D53" s="645" t="s">
        <v>82</v>
      </c>
      <c r="E53" s="646" t="s">
        <v>305</v>
      </c>
      <c r="F53" s="647">
        <v>2</v>
      </c>
      <c r="G53" s="611">
        <v>0.42</v>
      </c>
      <c r="H53" s="611">
        <v>0.42</v>
      </c>
      <c r="I53" s="611">
        <v>0.42</v>
      </c>
      <c r="J53" s="611">
        <v>0.42</v>
      </c>
      <c r="K53" s="611">
        <v>0.42</v>
      </c>
      <c r="L53" s="611">
        <v>0.42</v>
      </c>
      <c r="M53" s="612">
        <v>0.42</v>
      </c>
      <c r="N53" s="612">
        <v>0.42</v>
      </c>
      <c r="O53" s="612">
        <v>0.42</v>
      </c>
      <c r="P53" s="612">
        <v>0.42</v>
      </c>
      <c r="Q53" s="612">
        <v>0.42</v>
      </c>
      <c r="R53" s="612">
        <v>0.42</v>
      </c>
      <c r="S53" s="612">
        <v>0.42</v>
      </c>
      <c r="T53" s="612">
        <v>0.42</v>
      </c>
      <c r="U53" s="612">
        <v>0.42</v>
      </c>
      <c r="V53" s="612">
        <v>0.42</v>
      </c>
      <c r="W53" s="612">
        <v>0.42</v>
      </c>
      <c r="X53" s="612">
        <v>0.42</v>
      </c>
      <c r="Y53" s="612">
        <v>0.42</v>
      </c>
      <c r="Z53" s="612">
        <v>0.42</v>
      </c>
      <c r="AA53" s="612">
        <v>0.42</v>
      </c>
      <c r="AB53" s="612">
        <v>0.42</v>
      </c>
      <c r="AC53" s="612">
        <v>0.42</v>
      </c>
      <c r="AD53" s="612">
        <v>0.42</v>
      </c>
      <c r="AE53" s="612">
        <v>0.42</v>
      </c>
      <c r="AF53" s="612">
        <v>0.42</v>
      </c>
      <c r="AG53" s="612">
        <v>0.42</v>
      </c>
      <c r="AH53" s="612">
        <v>0.42</v>
      </c>
      <c r="AI53" s="612">
        <v>0.42</v>
      </c>
      <c r="AJ53" s="612">
        <v>0.42</v>
      </c>
      <c r="AK53" s="612">
        <v>0.42</v>
      </c>
      <c r="AL53" s="612">
        <v>0.42</v>
      </c>
      <c r="AM53" s="612">
        <v>0.42</v>
      </c>
      <c r="AN53" s="612">
        <v>0.42</v>
      </c>
      <c r="AO53" s="612">
        <v>0.42</v>
      </c>
      <c r="AP53" s="612">
        <v>0.42</v>
      </c>
      <c r="AQ53" s="612">
        <v>0.42</v>
      </c>
      <c r="AR53" s="612">
        <v>0.42</v>
      </c>
      <c r="AS53" s="612">
        <v>0.42</v>
      </c>
      <c r="AT53" s="612">
        <v>0.42</v>
      </c>
      <c r="AU53" s="612">
        <v>0.42</v>
      </c>
      <c r="AV53" s="612">
        <v>0.42</v>
      </c>
      <c r="AW53" s="612">
        <v>0.42</v>
      </c>
      <c r="AX53" s="612">
        <v>0.42</v>
      </c>
      <c r="AY53" s="612">
        <v>0.42</v>
      </c>
      <c r="AZ53" s="612">
        <v>0.42</v>
      </c>
      <c r="BA53" s="612">
        <v>0.42</v>
      </c>
      <c r="BB53" s="612">
        <v>0.42</v>
      </c>
      <c r="BC53" s="612">
        <v>0.42</v>
      </c>
      <c r="BD53" s="612">
        <v>0.42</v>
      </c>
      <c r="BE53" s="612">
        <v>0.42</v>
      </c>
      <c r="BF53" s="612">
        <v>0.42</v>
      </c>
      <c r="BG53" s="612">
        <v>0.42</v>
      </c>
      <c r="BH53" s="612">
        <v>0.42</v>
      </c>
      <c r="BI53" s="612">
        <v>0.42</v>
      </c>
      <c r="BJ53" s="612">
        <v>0.42</v>
      </c>
      <c r="BK53" s="612">
        <v>0.42</v>
      </c>
      <c r="BL53" s="612">
        <v>0.42</v>
      </c>
      <c r="BM53" s="612">
        <v>0.42</v>
      </c>
      <c r="BN53" s="612">
        <v>0.42</v>
      </c>
      <c r="BO53" s="612">
        <v>0.42</v>
      </c>
      <c r="BP53" s="612">
        <v>0.42</v>
      </c>
      <c r="BQ53" s="612">
        <v>0.42</v>
      </c>
      <c r="BR53" s="612">
        <v>0.42</v>
      </c>
      <c r="BS53" s="612">
        <v>0.42</v>
      </c>
      <c r="BT53" s="612">
        <v>0.42</v>
      </c>
      <c r="BU53" s="612">
        <v>0.42</v>
      </c>
      <c r="BV53" s="612">
        <v>0.42</v>
      </c>
      <c r="BW53" s="612">
        <v>0.42</v>
      </c>
      <c r="BX53" s="612">
        <v>0.42</v>
      </c>
      <c r="BY53" s="612">
        <v>0.42</v>
      </c>
      <c r="BZ53" s="612">
        <v>0.42</v>
      </c>
      <c r="CA53" s="612">
        <v>0.42</v>
      </c>
      <c r="CB53" s="612">
        <v>0.42</v>
      </c>
      <c r="CC53" s="612">
        <v>0.42</v>
      </c>
      <c r="CD53" s="612">
        <v>0.42</v>
      </c>
      <c r="CE53" s="612">
        <v>0.42</v>
      </c>
      <c r="CF53" s="612">
        <v>0.42</v>
      </c>
      <c r="CG53" s="612">
        <v>0.42</v>
      </c>
      <c r="CH53" s="612">
        <v>0.42</v>
      </c>
      <c r="CI53" s="613">
        <v>0.42</v>
      </c>
      <c r="CJ53" s="1619"/>
      <c r="CK53" s="1620"/>
    </row>
    <row r="54" spans="1:89" s="1621" customFormat="1" ht="14.5" thickBot="1" x14ac:dyDescent="0.4">
      <c r="A54" s="1618"/>
      <c r="B54" s="650" t="s">
        <v>375</v>
      </c>
      <c r="C54" s="651" t="s">
        <v>376</v>
      </c>
      <c r="D54" s="652" t="s">
        <v>82</v>
      </c>
      <c r="E54" s="653" t="s">
        <v>305</v>
      </c>
      <c r="F54" s="654">
        <v>2</v>
      </c>
      <c r="G54" s="655">
        <v>0.12</v>
      </c>
      <c r="H54" s="655">
        <v>0.12</v>
      </c>
      <c r="I54" s="655">
        <v>0.12</v>
      </c>
      <c r="J54" s="655">
        <v>0.12</v>
      </c>
      <c r="K54" s="655">
        <v>0.12</v>
      </c>
      <c r="L54" s="655">
        <v>0.12</v>
      </c>
      <c r="M54" s="656">
        <v>0.12</v>
      </c>
      <c r="N54" s="656">
        <v>0.12</v>
      </c>
      <c r="O54" s="656">
        <v>0.12</v>
      </c>
      <c r="P54" s="656">
        <v>0.12</v>
      </c>
      <c r="Q54" s="656">
        <v>0.12</v>
      </c>
      <c r="R54" s="656">
        <v>0.12</v>
      </c>
      <c r="S54" s="656">
        <v>0.12</v>
      </c>
      <c r="T54" s="656">
        <v>0.12</v>
      </c>
      <c r="U54" s="656">
        <v>0.12</v>
      </c>
      <c r="V54" s="656">
        <v>0.12</v>
      </c>
      <c r="W54" s="656">
        <v>0.12</v>
      </c>
      <c r="X54" s="656">
        <v>0.12</v>
      </c>
      <c r="Y54" s="656">
        <v>0.12</v>
      </c>
      <c r="Z54" s="656">
        <v>0.12</v>
      </c>
      <c r="AA54" s="656">
        <v>0.12</v>
      </c>
      <c r="AB54" s="656">
        <v>0.12</v>
      </c>
      <c r="AC54" s="656">
        <v>0.12</v>
      </c>
      <c r="AD54" s="656">
        <v>0.12</v>
      </c>
      <c r="AE54" s="656">
        <v>0.12</v>
      </c>
      <c r="AF54" s="656">
        <v>0.12</v>
      </c>
      <c r="AG54" s="656">
        <v>0.12</v>
      </c>
      <c r="AH54" s="656">
        <v>0.12</v>
      </c>
      <c r="AI54" s="656">
        <v>0.12</v>
      </c>
      <c r="AJ54" s="656">
        <v>0.12</v>
      </c>
      <c r="AK54" s="656">
        <v>0.12</v>
      </c>
      <c r="AL54" s="656">
        <v>0.12</v>
      </c>
      <c r="AM54" s="656">
        <v>0.12</v>
      </c>
      <c r="AN54" s="656">
        <v>0.12</v>
      </c>
      <c r="AO54" s="656">
        <v>0.12</v>
      </c>
      <c r="AP54" s="656">
        <v>0.12</v>
      </c>
      <c r="AQ54" s="656">
        <v>0.12</v>
      </c>
      <c r="AR54" s="656">
        <v>0.12</v>
      </c>
      <c r="AS54" s="656">
        <v>0.12</v>
      </c>
      <c r="AT54" s="656">
        <v>0.12</v>
      </c>
      <c r="AU54" s="656">
        <v>0.12</v>
      </c>
      <c r="AV54" s="656">
        <v>0.12</v>
      </c>
      <c r="AW54" s="656">
        <v>0.12</v>
      </c>
      <c r="AX54" s="656">
        <v>0.12</v>
      </c>
      <c r="AY54" s="656">
        <v>0.12</v>
      </c>
      <c r="AZ54" s="656">
        <v>0.12</v>
      </c>
      <c r="BA54" s="656">
        <v>0.12</v>
      </c>
      <c r="BB54" s="656">
        <v>0.12</v>
      </c>
      <c r="BC54" s="656">
        <v>0.12</v>
      </c>
      <c r="BD54" s="656">
        <v>0.12</v>
      </c>
      <c r="BE54" s="656">
        <v>0.12</v>
      </c>
      <c r="BF54" s="656">
        <v>0.12</v>
      </c>
      <c r="BG54" s="656">
        <v>0.12</v>
      </c>
      <c r="BH54" s="656">
        <v>0.12</v>
      </c>
      <c r="BI54" s="656">
        <v>0.12</v>
      </c>
      <c r="BJ54" s="656">
        <v>0.12</v>
      </c>
      <c r="BK54" s="656">
        <v>0.12</v>
      </c>
      <c r="BL54" s="656">
        <v>0.12</v>
      </c>
      <c r="BM54" s="656">
        <v>0.12</v>
      </c>
      <c r="BN54" s="656">
        <v>0.12</v>
      </c>
      <c r="BO54" s="656">
        <v>0.12</v>
      </c>
      <c r="BP54" s="656">
        <v>0.12</v>
      </c>
      <c r="BQ54" s="656">
        <v>0.12</v>
      </c>
      <c r="BR54" s="656">
        <v>0.12</v>
      </c>
      <c r="BS54" s="656">
        <v>0.12</v>
      </c>
      <c r="BT54" s="656">
        <v>0.12</v>
      </c>
      <c r="BU54" s="656">
        <v>0.12</v>
      </c>
      <c r="BV54" s="656">
        <v>0.12</v>
      </c>
      <c r="BW54" s="656">
        <v>0.12</v>
      </c>
      <c r="BX54" s="656">
        <v>0.12</v>
      </c>
      <c r="BY54" s="656">
        <v>0.12</v>
      </c>
      <c r="BZ54" s="656">
        <v>0.12</v>
      </c>
      <c r="CA54" s="656">
        <v>0.12</v>
      </c>
      <c r="CB54" s="656">
        <v>0.12</v>
      </c>
      <c r="CC54" s="656">
        <v>0.12</v>
      </c>
      <c r="CD54" s="656">
        <v>0.12</v>
      </c>
      <c r="CE54" s="656">
        <v>0.12</v>
      </c>
      <c r="CF54" s="656">
        <v>0.12</v>
      </c>
      <c r="CG54" s="656">
        <v>0.12</v>
      </c>
      <c r="CH54" s="656">
        <v>0.12</v>
      </c>
      <c r="CI54" s="657">
        <v>0.12</v>
      </c>
      <c r="CJ54" s="1619"/>
      <c r="CK54" s="1620"/>
    </row>
    <row r="55" spans="1:89" s="1621" customFormat="1" x14ac:dyDescent="0.35">
      <c r="A55" s="1618"/>
      <c r="B55" s="597" t="s">
        <v>377</v>
      </c>
      <c r="C55" s="598" t="s">
        <v>378</v>
      </c>
      <c r="D55" s="599" t="s">
        <v>82</v>
      </c>
      <c r="E55" s="600" t="s">
        <v>305</v>
      </c>
      <c r="F55" s="601">
        <v>2</v>
      </c>
      <c r="G55" s="602">
        <v>0.16</v>
      </c>
      <c r="H55" s="602">
        <v>0.15</v>
      </c>
      <c r="I55" s="602">
        <v>0.15</v>
      </c>
      <c r="J55" s="602">
        <v>0.15</v>
      </c>
      <c r="K55" s="602">
        <v>0.15</v>
      </c>
      <c r="L55" s="602">
        <v>0.15</v>
      </c>
      <c r="M55" s="603">
        <v>0.15</v>
      </c>
      <c r="N55" s="603">
        <v>0.15</v>
      </c>
      <c r="O55" s="603">
        <v>0.15</v>
      </c>
      <c r="P55" s="603">
        <v>0.15</v>
      </c>
      <c r="Q55" s="603">
        <v>0.15</v>
      </c>
      <c r="R55" s="603">
        <v>0.15</v>
      </c>
      <c r="S55" s="603">
        <v>0.15</v>
      </c>
      <c r="T55" s="603">
        <v>0.15</v>
      </c>
      <c r="U55" s="603">
        <v>0.15</v>
      </c>
      <c r="V55" s="603">
        <v>0.15</v>
      </c>
      <c r="W55" s="603">
        <v>0.15</v>
      </c>
      <c r="X55" s="603">
        <v>0.15</v>
      </c>
      <c r="Y55" s="603">
        <v>0.15</v>
      </c>
      <c r="Z55" s="603">
        <v>0.15</v>
      </c>
      <c r="AA55" s="603">
        <v>0.15</v>
      </c>
      <c r="AB55" s="603">
        <v>0.15</v>
      </c>
      <c r="AC55" s="603">
        <v>0.15</v>
      </c>
      <c r="AD55" s="603">
        <v>0.15</v>
      </c>
      <c r="AE55" s="603">
        <v>0.15</v>
      </c>
      <c r="AF55" s="603">
        <v>0.15</v>
      </c>
      <c r="AG55" s="603">
        <v>0.15</v>
      </c>
      <c r="AH55" s="603">
        <v>0.15</v>
      </c>
      <c r="AI55" s="603">
        <v>0.15</v>
      </c>
      <c r="AJ55" s="603">
        <v>0.15</v>
      </c>
      <c r="AK55" s="603">
        <v>0.15</v>
      </c>
      <c r="AL55" s="603">
        <v>0.15</v>
      </c>
      <c r="AM55" s="603">
        <v>0.15</v>
      </c>
      <c r="AN55" s="603">
        <v>0.15</v>
      </c>
      <c r="AO55" s="603">
        <v>0.15</v>
      </c>
      <c r="AP55" s="603">
        <v>0.15</v>
      </c>
      <c r="AQ55" s="603">
        <v>0.15</v>
      </c>
      <c r="AR55" s="603">
        <v>0.15</v>
      </c>
      <c r="AS55" s="603">
        <v>0.15</v>
      </c>
      <c r="AT55" s="603">
        <v>0.15</v>
      </c>
      <c r="AU55" s="603">
        <v>0.15</v>
      </c>
      <c r="AV55" s="603">
        <v>0.15</v>
      </c>
      <c r="AW55" s="603">
        <v>0.15</v>
      </c>
      <c r="AX55" s="603">
        <v>0.15</v>
      </c>
      <c r="AY55" s="603">
        <v>0.15</v>
      </c>
      <c r="AZ55" s="603">
        <v>0.15</v>
      </c>
      <c r="BA55" s="603">
        <v>0.15</v>
      </c>
      <c r="BB55" s="603">
        <v>0.15</v>
      </c>
      <c r="BC55" s="603">
        <v>0.15</v>
      </c>
      <c r="BD55" s="603">
        <v>0.15</v>
      </c>
      <c r="BE55" s="603">
        <v>0.15</v>
      </c>
      <c r="BF55" s="603">
        <v>0.15</v>
      </c>
      <c r="BG55" s="603">
        <v>0.15</v>
      </c>
      <c r="BH55" s="603">
        <v>0.15</v>
      </c>
      <c r="BI55" s="603">
        <v>0.15</v>
      </c>
      <c r="BJ55" s="603">
        <v>0.15</v>
      </c>
      <c r="BK55" s="603">
        <v>0.15</v>
      </c>
      <c r="BL55" s="603">
        <v>0.15</v>
      </c>
      <c r="BM55" s="603">
        <v>0.15</v>
      </c>
      <c r="BN55" s="603">
        <v>0.15</v>
      </c>
      <c r="BO55" s="603">
        <v>0.15</v>
      </c>
      <c r="BP55" s="603">
        <v>0.15</v>
      </c>
      <c r="BQ55" s="603">
        <v>0.15</v>
      </c>
      <c r="BR55" s="603">
        <v>0.15</v>
      </c>
      <c r="BS55" s="603">
        <v>0.15</v>
      </c>
      <c r="BT55" s="603">
        <v>0.15</v>
      </c>
      <c r="BU55" s="603">
        <v>0.15</v>
      </c>
      <c r="BV55" s="603">
        <v>0.15</v>
      </c>
      <c r="BW55" s="603">
        <v>0.15</v>
      </c>
      <c r="BX55" s="603">
        <v>0.15</v>
      </c>
      <c r="BY55" s="603">
        <v>0.15</v>
      </c>
      <c r="BZ55" s="603">
        <v>0.15</v>
      </c>
      <c r="CA55" s="603">
        <v>0.15</v>
      </c>
      <c r="CB55" s="603">
        <v>0.15</v>
      </c>
      <c r="CC55" s="603">
        <v>0.15</v>
      </c>
      <c r="CD55" s="603">
        <v>0.15</v>
      </c>
      <c r="CE55" s="603">
        <v>0.15</v>
      </c>
      <c r="CF55" s="603">
        <v>0.15</v>
      </c>
      <c r="CG55" s="603">
        <v>0.15</v>
      </c>
      <c r="CH55" s="603">
        <v>0.15</v>
      </c>
      <c r="CI55" s="604">
        <v>0.15</v>
      </c>
      <c r="CJ55" s="1619"/>
      <c r="CK55" s="1620"/>
    </row>
    <row r="56" spans="1:89" s="1621" customFormat="1" x14ac:dyDescent="0.35">
      <c r="A56" s="1618"/>
      <c r="B56" s="614" t="s">
        <v>379</v>
      </c>
      <c r="C56" s="617" t="s">
        <v>380</v>
      </c>
      <c r="D56" s="608" t="s">
        <v>82</v>
      </c>
      <c r="E56" s="609" t="s">
        <v>305</v>
      </c>
      <c r="F56" s="610">
        <v>2</v>
      </c>
      <c r="G56" s="611">
        <v>0.02</v>
      </c>
      <c r="H56" s="611">
        <v>0.02</v>
      </c>
      <c r="I56" s="611">
        <v>0.02</v>
      </c>
      <c r="J56" s="611">
        <v>0.02</v>
      </c>
      <c r="K56" s="611">
        <v>0.02</v>
      </c>
      <c r="L56" s="611">
        <v>0.02</v>
      </c>
      <c r="M56" s="615">
        <v>0.02</v>
      </c>
      <c r="N56" s="615">
        <v>0.02</v>
      </c>
      <c r="O56" s="615">
        <v>0.02</v>
      </c>
      <c r="P56" s="615">
        <v>0.02</v>
      </c>
      <c r="Q56" s="615">
        <v>0.02</v>
      </c>
      <c r="R56" s="615">
        <v>0.02</v>
      </c>
      <c r="S56" s="615">
        <v>0.02</v>
      </c>
      <c r="T56" s="615">
        <v>0.02</v>
      </c>
      <c r="U56" s="615">
        <v>0.02</v>
      </c>
      <c r="V56" s="615">
        <v>0.02</v>
      </c>
      <c r="W56" s="615">
        <v>0.02</v>
      </c>
      <c r="X56" s="615">
        <v>0.02</v>
      </c>
      <c r="Y56" s="615">
        <v>0.02</v>
      </c>
      <c r="Z56" s="615">
        <v>0.02</v>
      </c>
      <c r="AA56" s="615">
        <v>0.02</v>
      </c>
      <c r="AB56" s="615">
        <v>0.02</v>
      </c>
      <c r="AC56" s="615">
        <v>0.02</v>
      </c>
      <c r="AD56" s="615">
        <v>0.02</v>
      </c>
      <c r="AE56" s="615">
        <v>0.02</v>
      </c>
      <c r="AF56" s="615">
        <v>0.02</v>
      </c>
      <c r="AG56" s="615">
        <v>0.02</v>
      </c>
      <c r="AH56" s="615">
        <v>0.02</v>
      </c>
      <c r="AI56" s="615">
        <v>0.02</v>
      </c>
      <c r="AJ56" s="615">
        <v>0.02</v>
      </c>
      <c r="AK56" s="615">
        <v>0.02</v>
      </c>
      <c r="AL56" s="615">
        <v>0.02</v>
      </c>
      <c r="AM56" s="615">
        <v>0.02</v>
      </c>
      <c r="AN56" s="615">
        <v>0.02</v>
      </c>
      <c r="AO56" s="615">
        <v>0.02</v>
      </c>
      <c r="AP56" s="615">
        <v>0.02</v>
      </c>
      <c r="AQ56" s="615">
        <v>0.02</v>
      </c>
      <c r="AR56" s="615">
        <v>0.02</v>
      </c>
      <c r="AS56" s="615">
        <v>0.02</v>
      </c>
      <c r="AT56" s="615">
        <v>0.02</v>
      </c>
      <c r="AU56" s="615">
        <v>0.02</v>
      </c>
      <c r="AV56" s="615">
        <v>0.02</v>
      </c>
      <c r="AW56" s="615">
        <v>0.02</v>
      </c>
      <c r="AX56" s="615">
        <v>0.02</v>
      </c>
      <c r="AY56" s="615">
        <v>0.02</v>
      </c>
      <c r="AZ56" s="615">
        <v>0.02</v>
      </c>
      <c r="BA56" s="615">
        <v>0.02</v>
      </c>
      <c r="BB56" s="615">
        <v>0.02</v>
      </c>
      <c r="BC56" s="615">
        <v>0.02</v>
      </c>
      <c r="BD56" s="615">
        <v>0.02</v>
      </c>
      <c r="BE56" s="615">
        <v>0.02</v>
      </c>
      <c r="BF56" s="615">
        <v>0.02</v>
      </c>
      <c r="BG56" s="615">
        <v>0.02</v>
      </c>
      <c r="BH56" s="615">
        <v>0.02</v>
      </c>
      <c r="BI56" s="615">
        <v>0.02</v>
      </c>
      <c r="BJ56" s="615">
        <v>0.02</v>
      </c>
      <c r="BK56" s="615">
        <v>0.02</v>
      </c>
      <c r="BL56" s="615">
        <v>0.02</v>
      </c>
      <c r="BM56" s="615">
        <v>0.02</v>
      </c>
      <c r="BN56" s="615">
        <v>0.02</v>
      </c>
      <c r="BO56" s="615">
        <v>0.02</v>
      </c>
      <c r="BP56" s="615">
        <v>0.02</v>
      </c>
      <c r="BQ56" s="615">
        <v>0.02</v>
      </c>
      <c r="BR56" s="615">
        <v>0.02</v>
      </c>
      <c r="BS56" s="615">
        <v>0.02</v>
      </c>
      <c r="BT56" s="615">
        <v>0.02</v>
      </c>
      <c r="BU56" s="615">
        <v>0.02</v>
      </c>
      <c r="BV56" s="615">
        <v>0.02</v>
      </c>
      <c r="BW56" s="615">
        <v>0.02</v>
      </c>
      <c r="BX56" s="615">
        <v>0.02</v>
      </c>
      <c r="BY56" s="615">
        <v>0.02</v>
      </c>
      <c r="BZ56" s="615">
        <v>0.02</v>
      </c>
      <c r="CA56" s="615">
        <v>0.02</v>
      </c>
      <c r="CB56" s="615">
        <v>0.02</v>
      </c>
      <c r="CC56" s="615">
        <v>0.02</v>
      </c>
      <c r="CD56" s="615">
        <v>0.02</v>
      </c>
      <c r="CE56" s="615">
        <v>0.02</v>
      </c>
      <c r="CF56" s="615">
        <v>0.02</v>
      </c>
      <c r="CG56" s="615">
        <v>0.02</v>
      </c>
      <c r="CH56" s="615">
        <v>0.02</v>
      </c>
      <c r="CI56" s="616">
        <v>0.02</v>
      </c>
      <c r="CJ56" s="1619"/>
      <c r="CK56" s="1620"/>
    </row>
    <row r="57" spans="1:89" s="1621" customFormat="1" x14ac:dyDescent="0.35">
      <c r="A57" s="1618"/>
      <c r="B57" s="614" t="s">
        <v>381</v>
      </c>
      <c r="C57" s="617" t="s">
        <v>382</v>
      </c>
      <c r="D57" s="608" t="s">
        <v>82</v>
      </c>
      <c r="E57" s="609" t="s">
        <v>305</v>
      </c>
      <c r="F57" s="610">
        <v>2</v>
      </c>
      <c r="G57" s="611">
        <v>2.54</v>
      </c>
      <c r="H57" s="611">
        <v>2.61</v>
      </c>
      <c r="I57" s="611">
        <v>2.72</v>
      </c>
      <c r="J57" s="611">
        <v>2.72</v>
      </c>
      <c r="K57" s="611">
        <v>2.72</v>
      </c>
      <c r="L57" s="611">
        <v>2.72</v>
      </c>
      <c r="M57" s="615">
        <v>2.72</v>
      </c>
      <c r="N57" s="615">
        <v>2.72</v>
      </c>
      <c r="O57" s="615">
        <v>2.72</v>
      </c>
      <c r="P57" s="615">
        <v>2.72</v>
      </c>
      <c r="Q57" s="615">
        <v>2.72</v>
      </c>
      <c r="R57" s="615">
        <v>2.72</v>
      </c>
      <c r="S57" s="615">
        <v>2.72</v>
      </c>
      <c r="T57" s="615">
        <v>2.72</v>
      </c>
      <c r="U57" s="615">
        <v>2.72</v>
      </c>
      <c r="V57" s="615">
        <v>2.72</v>
      </c>
      <c r="W57" s="615">
        <v>2.72</v>
      </c>
      <c r="X57" s="615">
        <v>2.72</v>
      </c>
      <c r="Y57" s="615">
        <v>2.72</v>
      </c>
      <c r="Z57" s="615">
        <v>2.72</v>
      </c>
      <c r="AA57" s="615">
        <v>2.72</v>
      </c>
      <c r="AB57" s="615">
        <v>2.72</v>
      </c>
      <c r="AC57" s="615">
        <v>2.72</v>
      </c>
      <c r="AD57" s="615">
        <v>2.72</v>
      </c>
      <c r="AE57" s="615">
        <v>2.72</v>
      </c>
      <c r="AF57" s="615">
        <v>2.72</v>
      </c>
      <c r="AG57" s="615">
        <v>2.72</v>
      </c>
      <c r="AH57" s="615">
        <v>2.72</v>
      </c>
      <c r="AI57" s="615">
        <v>2.72</v>
      </c>
      <c r="AJ57" s="615">
        <v>2.72</v>
      </c>
      <c r="AK57" s="615">
        <v>2.72</v>
      </c>
      <c r="AL57" s="615">
        <v>2.72</v>
      </c>
      <c r="AM57" s="615">
        <v>2.72</v>
      </c>
      <c r="AN57" s="615">
        <v>2.72</v>
      </c>
      <c r="AO57" s="615">
        <v>2.72</v>
      </c>
      <c r="AP57" s="615">
        <v>2.72</v>
      </c>
      <c r="AQ57" s="615">
        <v>2.72</v>
      </c>
      <c r="AR57" s="615">
        <v>2.72</v>
      </c>
      <c r="AS57" s="615">
        <v>2.72</v>
      </c>
      <c r="AT57" s="615">
        <v>2.72</v>
      </c>
      <c r="AU57" s="615">
        <v>2.72</v>
      </c>
      <c r="AV57" s="615">
        <v>2.72</v>
      </c>
      <c r="AW57" s="615">
        <v>2.72</v>
      </c>
      <c r="AX57" s="615">
        <v>2.72</v>
      </c>
      <c r="AY57" s="615">
        <v>2.72</v>
      </c>
      <c r="AZ57" s="615">
        <v>2.72</v>
      </c>
      <c r="BA57" s="615">
        <v>2.72</v>
      </c>
      <c r="BB57" s="615">
        <v>2.72</v>
      </c>
      <c r="BC57" s="615">
        <v>2.72</v>
      </c>
      <c r="BD57" s="615">
        <v>2.72</v>
      </c>
      <c r="BE57" s="615">
        <v>2.72</v>
      </c>
      <c r="BF57" s="615">
        <v>2.72</v>
      </c>
      <c r="BG57" s="615">
        <v>2.72</v>
      </c>
      <c r="BH57" s="615">
        <v>2.72</v>
      </c>
      <c r="BI57" s="615">
        <v>2.72</v>
      </c>
      <c r="BJ57" s="615">
        <v>2.72</v>
      </c>
      <c r="BK57" s="615">
        <v>2.72</v>
      </c>
      <c r="BL57" s="615">
        <v>2.72</v>
      </c>
      <c r="BM57" s="615">
        <v>2.72</v>
      </c>
      <c r="BN57" s="615">
        <v>2.72</v>
      </c>
      <c r="BO57" s="615">
        <v>2.72</v>
      </c>
      <c r="BP57" s="615">
        <v>2.72</v>
      </c>
      <c r="BQ57" s="615">
        <v>2.72</v>
      </c>
      <c r="BR57" s="615">
        <v>2.72</v>
      </c>
      <c r="BS57" s="615">
        <v>2.72</v>
      </c>
      <c r="BT57" s="615">
        <v>2.72</v>
      </c>
      <c r="BU57" s="615">
        <v>2.72</v>
      </c>
      <c r="BV57" s="615">
        <v>2.72</v>
      </c>
      <c r="BW57" s="615">
        <v>2.72</v>
      </c>
      <c r="BX57" s="615">
        <v>2.72</v>
      </c>
      <c r="BY57" s="615">
        <v>2.72</v>
      </c>
      <c r="BZ57" s="615">
        <v>2.72</v>
      </c>
      <c r="CA57" s="615">
        <v>2.72</v>
      </c>
      <c r="CB57" s="615">
        <v>2.72</v>
      </c>
      <c r="CC57" s="615">
        <v>2.72</v>
      </c>
      <c r="CD57" s="615">
        <v>2.72</v>
      </c>
      <c r="CE57" s="615">
        <v>2.72</v>
      </c>
      <c r="CF57" s="615">
        <v>2.72</v>
      </c>
      <c r="CG57" s="615">
        <v>2.72</v>
      </c>
      <c r="CH57" s="615">
        <v>2.72</v>
      </c>
      <c r="CI57" s="615">
        <v>2.72</v>
      </c>
      <c r="CJ57" s="1619"/>
      <c r="CK57" s="1620"/>
    </row>
    <row r="58" spans="1:89" s="1621" customFormat="1" x14ac:dyDescent="0.35">
      <c r="A58" s="1618"/>
      <c r="B58" s="614" t="s">
        <v>383</v>
      </c>
      <c r="C58" s="617" t="s">
        <v>384</v>
      </c>
      <c r="D58" s="608" t="s">
        <v>82</v>
      </c>
      <c r="E58" s="609" t="s">
        <v>305</v>
      </c>
      <c r="F58" s="610">
        <v>2</v>
      </c>
      <c r="G58" s="611">
        <v>1.25</v>
      </c>
      <c r="H58" s="611">
        <v>1.22</v>
      </c>
      <c r="I58" s="611">
        <v>1.2</v>
      </c>
      <c r="J58" s="611">
        <v>1.2</v>
      </c>
      <c r="K58" s="611">
        <v>1.2</v>
      </c>
      <c r="L58" s="611">
        <v>1.2</v>
      </c>
      <c r="M58" s="615">
        <v>1.2</v>
      </c>
      <c r="N58" s="615">
        <v>1.2</v>
      </c>
      <c r="O58" s="615">
        <v>1.2</v>
      </c>
      <c r="P58" s="615">
        <v>1.2</v>
      </c>
      <c r="Q58" s="615">
        <v>1.2</v>
      </c>
      <c r="R58" s="615">
        <v>1.2</v>
      </c>
      <c r="S58" s="615">
        <v>1.2</v>
      </c>
      <c r="T58" s="615">
        <v>1.2</v>
      </c>
      <c r="U58" s="615">
        <v>1.2</v>
      </c>
      <c r="V58" s="615">
        <v>1.2</v>
      </c>
      <c r="W58" s="615">
        <v>1.2</v>
      </c>
      <c r="X58" s="615">
        <v>1.2</v>
      </c>
      <c r="Y58" s="615">
        <v>1.2</v>
      </c>
      <c r="Z58" s="615">
        <v>1.2</v>
      </c>
      <c r="AA58" s="615">
        <v>1.2</v>
      </c>
      <c r="AB58" s="615">
        <v>1.2</v>
      </c>
      <c r="AC58" s="615">
        <v>1.2</v>
      </c>
      <c r="AD58" s="615">
        <v>1.2</v>
      </c>
      <c r="AE58" s="615">
        <v>1.2</v>
      </c>
      <c r="AF58" s="615">
        <v>1.2</v>
      </c>
      <c r="AG58" s="615">
        <v>1.2</v>
      </c>
      <c r="AH58" s="615">
        <v>1.2</v>
      </c>
      <c r="AI58" s="615">
        <v>1.2</v>
      </c>
      <c r="AJ58" s="615">
        <v>1.2</v>
      </c>
      <c r="AK58" s="615">
        <v>1.2</v>
      </c>
      <c r="AL58" s="615">
        <v>1.2</v>
      </c>
      <c r="AM58" s="615">
        <v>1.2</v>
      </c>
      <c r="AN58" s="615">
        <v>1.2</v>
      </c>
      <c r="AO58" s="615">
        <v>1.2</v>
      </c>
      <c r="AP58" s="615">
        <v>1.2</v>
      </c>
      <c r="AQ58" s="615">
        <v>1.2</v>
      </c>
      <c r="AR58" s="615">
        <v>1.2</v>
      </c>
      <c r="AS58" s="615">
        <v>1.2</v>
      </c>
      <c r="AT58" s="615">
        <v>1.2</v>
      </c>
      <c r="AU58" s="615">
        <v>1.2</v>
      </c>
      <c r="AV58" s="615">
        <v>1.2</v>
      </c>
      <c r="AW58" s="615">
        <v>1.2</v>
      </c>
      <c r="AX58" s="615">
        <v>1.2</v>
      </c>
      <c r="AY58" s="615">
        <v>1.2</v>
      </c>
      <c r="AZ58" s="615">
        <v>1.2</v>
      </c>
      <c r="BA58" s="615">
        <v>1.2</v>
      </c>
      <c r="BB58" s="615">
        <v>1.2</v>
      </c>
      <c r="BC58" s="615">
        <v>1.2</v>
      </c>
      <c r="BD58" s="615">
        <v>1.2</v>
      </c>
      <c r="BE58" s="615">
        <v>1.2</v>
      </c>
      <c r="BF58" s="615">
        <v>1.2</v>
      </c>
      <c r="BG58" s="615">
        <v>1.2</v>
      </c>
      <c r="BH58" s="615">
        <v>1.2</v>
      </c>
      <c r="BI58" s="615">
        <v>1.2</v>
      </c>
      <c r="BJ58" s="615">
        <v>1.2</v>
      </c>
      <c r="BK58" s="615">
        <v>1.2</v>
      </c>
      <c r="BL58" s="615">
        <v>1.2</v>
      </c>
      <c r="BM58" s="615">
        <v>1.2</v>
      </c>
      <c r="BN58" s="615">
        <v>1.2</v>
      </c>
      <c r="BO58" s="615">
        <v>1.2</v>
      </c>
      <c r="BP58" s="615">
        <v>1.2</v>
      </c>
      <c r="BQ58" s="615">
        <v>1.2</v>
      </c>
      <c r="BR58" s="615">
        <v>1.2</v>
      </c>
      <c r="BS58" s="615">
        <v>1.2</v>
      </c>
      <c r="BT58" s="615">
        <v>1.2</v>
      </c>
      <c r="BU58" s="615">
        <v>1.2</v>
      </c>
      <c r="BV58" s="615">
        <v>1.2</v>
      </c>
      <c r="BW58" s="615">
        <v>1.2</v>
      </c>
      <c r="BX58" s="615">
        <v>1.2</v>
      </c>
      <c r="BY58" s="615">
        <v>1.2</v>
      </c>
      <c r="BZ58" s="615">
        <v>1.2</v>
      </c>
      <c r="CA58" s="615">
        <v>1.2</v>
      </c>
      <c r="CB58" s="615">
        <v>1.2</v>
      </c>
      <c r="CC58" s="615">
        <v>1.2</v>
      </c>
      <c r="CD58" s="615">
        <v>1.2</v>
      </c>
      <c r="CE58" s="615">
        <v>1.2</v>
      </c>
      <c r="CF58" s="615">
        <v>1.2</v>
      </c>
      <c r="CG58" s="615">
        <v>1.2</v>
      </c>
      <c r="CH58" s="615">
        <v>1.2</v>
      </c>
      <c r="CI58" s="615">
        <v>1.2</v>
      </c>
      <c r="CJ58" s="1619"/>
      <c r="CK58" s="1620"/>
    </row>
    <row r="59" spans="1:89" s="1621" customFormat="1" x14ac:dyDescent="0.35">
      <c r="A59" s="1618"/>
      <c r="B59" s="614" t="s">
        <v>385</v>
      </c>
      <c r="C59" s="617" t="s">
        <v>386</v>
      </c>
      <c r="D59" s="608" t="s">
        <v>82</v>
      </c>
      <c r="E59" s="609" t="s">
        <v>305</v>
      </c>
      <c r="F59" s="610">
        <v>2</v>
      </c>
      <c r="G59" s="611">
        <v>0.12</v>
      </c>
      <c r="H59" s="611">
        <v>0.12</v>
      </c>
      <c r="I59" s="611">
        <v>0.12</v>
      </c>
      <c r="J59" s="611">
        <v>0.12</v>
      </c>
      <c r="K59" s="611">
        <v>0.12</v>
      </c>
      <c r="L59" s="611">
        <v>0.12</v>
      </c>
      <c r="M59" s="615">
        <v>0.12</v>
      </c>
      <c r="N59" s="615">
        <v>0.12</v>
      </c>
      <c r="O59" s="615">
        <v>0.12</v>
      </c>
      <c r="P59" s="615">
        <v>0.12</v>
      </c>
      <c r="Q59" s="615">
        <v>0.12</v>
      </c>
      <c r="R59" s="615">
        <v>0.12</v>
      </c>
      <c r="S59" s="615">
        <v>0.12</v>
      </c>
      <c r="T59" s="615">
        <v>0.12</v>
      </c>
      <c r="U59" s="615">
        <v>0.12</v>
      </c>
      <c r="V59" s="615">
        <v>0.12</v>
      </c>
      <c r="W59" s="615">
        <v>0.12</v>
      </c>
      <c r="X59" s="615">
        <v>0.12</v>
      </c>
      <c r="Y59" s="615">
        <v>0.12</v>
      </c>
      <c r="Z59" s="615">
        <v>0.12</v>
      </c>
      <c r="AA59" s="615">
        <v>0.12</v>
      </c>
      <c r="AB59" s="615">
        <v>0.12</v>
      </c>
      <c r="AC59" s="615">
        <v>0.12</v>
      </c>
      <c r="AD59" s="615">
        <v>0.12</v>
      </c>
      <c r="AE59" s="615">
        <v>0.12</v>
      </c>
      <c r="AF59" s="615">
        <v>0.12</v>
      </c>
      <c r="AG59" s="615">
        <v>0.12</v>
      </c>
      <c r="AH59" s="615">
        <v>0.12</v>
      </c>
      <c r="AI59" s="615">
        <v>0.12</v>
      </c>
      <c r="AJ59" s="615">
        <v>0.12</v>
      </c>
      <c r="AK59" s="615">
        <v>0.12</v>
      </c>
      <c r="AL59" s="615">
        <v>0.12</v>
      </c>
      <c r="AM59" s="615">
        <v>0.12</v>
      </c>
      <c r="AN59" s="615">
        <v>0.12</v>
      </c>
      <c r="AO59" s="615">
        <v>0.12</v>
      </c>
      <c r="AP59" s="615">
        <v>0.12</v>
      </c>
      <c r="AQ59" s="615">
        <v>0.12</v>
      </c>
      <c r="AR59" s="615">
        <v>0.12</v>
      </c>
      <c r="AS59" s="615">
        <v>0.12</v>
      </c>
      <c r="AT59" s="615">
        <v>0.12</v>
      </c>
      <c r="AU59" s="615">
        <v>0.12</v>
      </c>
      <c r="AV59" s="615">
        <v>0.12</v>
      </c>
      <c r="AW59" s="615">
        <v>0.12</v>
      </c>
      <c r="AX59" s="615">
        <v>0.12</v>
      </c>
      <c r="AY59" s="615">
        <v>0.12</v>
      </c>
      <c r="AZ59" s="615">
        <v>0.12</v>
      </c>
      <c r="BA59" s="615">
        <v>0.12</v>
      </c>
      <c r="BB59" s="615">
        <v>0.12</v>
      </c>
      <c r="BC59" s="615">
        <v>0.12</v>
      </c>
      <c r="BD59" s="615">
        <v>0.12</v>
      </c>
      <c r="BE59" s="615">
        <v>0.12</v>
      </c>
      <c r="BF59" s="615">
        <v>0.12</v>
      </c>
      <c r="BG59" s="615">
        <v>0.12</v>
      </c>
      <c r="BH59" s="615">
        <v>0.12</v>
      </c>
      <c r="BI59" s="615">
        <v>0.12</v>
      </c>
      <c r="BJ59" s="615">
        <v>0.12</v>
      </c>
      <c r="BK59" s="615">
        <v>0.12</v>
      </c>
      <c r="BL59" s="615">
        <v>0.12</v>
      </c>
      <c r="BM59" s="615">
        <v>0.12</v>
      </c>
      <c r="BN59" s="615">
        <v>0.12</v>
      </c>
      <c r="BO59" s="615">
        <v>0.12</v>
      </c>
      <c r="BP59" s="615">
        <v>0.12</v>
      </c>
      <c r="BQ59" s="615">
        <v>0.12</v>
      </c>
      <c r="BR59" s="615">
        <v>0.12</v>
      </c>
      <c r="BS59" s="615">
        <v>0.12</v>
      </c>
      <c r="BT59" s="615">
        <v>0.12</v>
      </c>
      <c r="BU59" s="615">
        <v>0.12</v>
      </c>
      <c r="BV59" s="615">
        <v>0.12</v>
      </c>
      <c r="BW59" s="615">
        <v>0.12</v>
      </c>
      <c r="BX59" s="615">
        <v>0.12</v>
      </c>
      <c r="BY59" s="615">
        <v>0.12</v>
      </c>
      <c r="BZ59" s="615">
        <v>0.12</v>
      </c>
      <c r="CA59" s="615">
        <v>0.12</v>
      </c>
      <c r="CB59" s="615">
        <v>0.12</v>
      </c>
      <c r="CC59" s="615">
        <v>0.12</v>
      </c>
      <c r="CD59" s="615">
        <v>0.12</v>
      </c>
      <c r="CE59" s="615">
        <v>0.12</v>
      </c>
      <c r="CF59" s="615">
        <v>0.12</v>
      </c>
      <c r="CG59" s="615">
        <v>0.12</v>
      </c>
      <c r="CH59" s="615">
        <v>0.12</v>
      </c>
      <c r="CI59" s="616">
        <v>0.12</v>
      </c>
      <c r="CJ59" s="1619"/>
      <c r="CK59" s="1620"/>
    </row>
    <row r="60" spans="1:89" s="1621" customFormat="1" x14ac:dyDescent="0.35">
      <c r="A60" s="1618"/>
      <c r="B60" s="614" t="s">
        <v>387</v>
      </c>
      <c r="C60" s="607" t="s">
        <v>388</v>
      </c>
      <c r="D60" s="608" t="s">
        <v>82</v>
      </c>
      <c r="E60" s="609" t="s">
        <v>305</v>
      </c>
      <c r="F60" s="610">
        <v>2</v>
      </c>
      <c r="G60" s="611">
        <v>9.41</v>
      </c>
      <c r="H60" s="611">
        <v>9.3800000000000008</v>
      </c>
      <c r="I60" s="611">
        <v>9.3000000000000007</v>
      </c>
      <c r="J60" s="611">
        <v>9.3000000000000007</v>
      </c>
      <c r="K60" s="611">
        <v>9.3000000000000007</v>
      </c>
      <c r="L60" s="611">
        <v>8.99</v>
      </c>
      <c r="M60" s="615">
        <v>8.99</v>
      </c>
      <c r="N60" s="615">
        <v>8.99</v>
      </c>
      <c r="O60" s="615">
        <v>8.99</v>
      </c>
      <c r="P60" s="615">
        <v>8.99</v>
      </c>
      <c r="Q60" s="615">
        <v>8.99</v>
      </c>
      <c r="R60" s="615">
        <v>8.99</v>
      </c>
      <c r="S60" s="615">
        <v>8.99</v>
      </c>
      <c r="T60" s="615">
        <v>8.99</v>
      </c>
      <c r="U60" s="615">
        <v>8.99</v>
      </c>
      <c r="V60" s="615">
        <v>8.99</v>
      </c>
      <c r="W60" s="615">
        <v>8.99</v>
      </c>
      <c r="X60" s="615">
        <v>8.99</v>
      </c>
      <c r="Y60" s="615">
        <v>8.99</v>
      </c>
      <c r="Z60" s="615">
        <v>8.99</v>
      </c>
      <c r="AA60" s="615">
        <v>8.99</v>
      </c>
      <c r="AB60" s="615">
        <v>8.99</v>
      </c>
      <c r="AC60" s="615">
        <v>8.99</v>
      </c>
      <c r="AD60" s="615">
        <v>8.99</v>
      </c>
      <c r="AE60" s="615">
        <v>8.99</v>
      </c>
      <c r="AF60" s="615">
        <v>8.99</v>
      </c>
      <c r="AG60" s="615">
        <v>8.99</v>
      </c>
      <c r="AH60" s="615">
        <v>8.99</v>
      </c>
      <c r="AI60" s="615">
        <v>8.99</v>
      </c>
      <c r="AJ60" s="615">
        <v>8.99</v>
      </c>
      <c r="AK60" s="615">
        <v>8.99</v>
      </c>
      <c r="AL60" s="615">
        <v>8.99</v>
      </c>
      <c r="AM60" s="615">
        <v>8.99</v>
      </c>
      <c r="AN60" s="615">
        <v>8.99</v>
      </c>
      <c r="AO60" s="615">
        <v>8.99</v>
      </c>
      <c r="AP60" s="615">
        <v>8.99</v>
      </c>
      <c r="AQ60" s="615">
        <v>8.99</v>
      </c>
      <c r="AR60" s="615">
        <v>8.99</v>
      </c>
      <c r="AS60" s="615">
        <v>8.99</v>
      </c>
      <c r="AT60" s="615">
        <v>8.99</v>
      </c>
      <c r="AU60" s="615">
        <v>8.99</v>
      </c>
      <c r="AV60" s="615">
        <v>8.99</v>
      </c>
      <c r="AW60" s="615">
        <v>8.99</v>
      </c>
      <c r="AX60" s="615">
        <v>8.99</v>
      </c>
      <c r="AY60" s="615">
        <v>8.99</v>
      </c>
      <c r="AZ60" s="615">
        <v>8.99</v>
      </c>
      <c r="BA60" s="615">
        <v>8.99</v>
      </c>
      <c r="BB60" s="615">
        <v>8.99</v>
      </c>
      <c r="BC60" s="615">
        <v>8.99</v>
      </c>
      <c r="BD60" s="615">
        <v>8.99</v>
      </c>
      <c r="BE60" s="615">
        <v>8.99</v>
      </c>
      <c r="BF60" s="615">
        <v>8.99</v>
      </c>
      <c r="BG60" s="615">
        <v>8.99</v>
      </c>
      <c r="BH60" s="615">
        <v>8.99</v>
      </c>
      <c r="BI60" s="615">
        <v>8.99</v>
      </c>
      <c r="BJ60" s="615">
        <v>8.99</v>
      </c>
      <c r="BK60" s="615">
        <v>8.99</v>
      </c>
      <c r="BL60" s="615">
        <v>8.99</v>
      </c>
      <c r="BM60" s="615">
        <v>8.99</v>
      </c>
      <c r="BN60" s="615">
        <v>8.99</v>
      </c>
      <c r="BO60" s="615">
        <v>8.99</v>
      </c>
      <c r="BP60" s="615">
        <v>8.99</v>
      </c>
      <c r="BQ60" s="615">
        <v>8.99</v>
      </c>
      <c r="BR60" s="615">
        <v>8.99</v>
      </c>
      <c r="BS60" s="615">
        <v>8.99</v>
      </c>
      <c r="BT60" s="615">
        <v>8.99</v>
      </c>
      <c r="BU60" s="615">
        <v>8.99</v>
      </c>
      <c r="BV60" s="615">
        <v>8.99</v>
      </c>
      <c r="BW60" s="615">
        <v>8.99</v>
      </c>
      <c r="BX60" s="615">
        <v>8.99</v>
      </c>
      <c r="BY60" s="615">
        <v>8.99</v>
      </c>
      <c r="BZ60" s="615">
        <v>8.99</v>
      </c>
      <c r="CA60" s="615">
        <v>8.99</v>
      </c>
      <c r="CB60" s="615">
        <v>8.99</v>
      </c>
      <c r="CC60" s="615">
        <v>8.99</v>
      </c>
      <c r="CD60" s="615">
        <v>8.99</v>
      </c>
      <c r="CE60" s="615">
        <v>8.99</v>
      </c>
      <c r="CF60" s="615">
        <v>8.99</v>
      </c>
      <c r="CG60" s="615">
        <v>8.99</v>
      </c>
      <c r="CH60" s="615">
        <v>8.99</v>
      </c>
      <c r="CI60" s="615">
        <v>8.99</v>
      </c>
      <c r="CJ60" s="1619"/>
      <c r="CK60" s="1620"/>
    </row>
    <row r="61" spans="1:89" s="64" customFormat="1" x14ac:dyDescent="0.35">
      <c r="A61" s="58"/>
      <c r="B61" s="614" t="s">
        <v>389</v>
      </c>
      <c r="C61" s="607" t="s">
        <v>390</v>
      </c>
      <c r="D61" s="608" t="s">
        <v>391</v>
      </c>
      <c r="E61" s="609" t="s">
        <v>305</v>
      </c>
      <c r="F61" s="610">
        <v>2</v>
      </c>
      <c r="G61" s="618">
        <f>SUM(G55:G60)</f>
        <v>13.5</v>
      </c>
      <c r="H61" s="618">
        <f t="shared" ref="H61:BS61" si="21">SUM(H55:H60)</f>
        <v>13.5</v>
      </c>
      <c r="I61" s="618">
        <f t="shared" si="21"/>
        <v>13.510000000000002</v>
      </c>
      <c r="J61" s="618">
        <f t="shared" si="21"/>
        <v>13.510000000000002</v>
      </c>
      <c r="K61" s="618">
        <f t="shared" si="21"/>
        <v>13.510000000000002</v>
      </c>
      <c r="L61" s="618">
        <f t="shared" si="21"/>
        <v>13.2</v>
      </c>
      <c r="M61" s="623">
        <f t="shared" si="21"/>
        <v>13.2</v>
      </c>
      <c r="N61" s="623">
        <f t="shared" si="21"/>
        <v>13.2</v>
      </c>
      <c r="O61" s="623">
        <f t="shared" si="21"/>
        <v>13.2</v>
      </c>
      <c r="P61" s="623">
        <f t="shared" si="21"/>
        <v>13.2</v>
      </c>
      <c r="Q61" s="623">
        <f t="shared" si="21"/>
        <v>13.2</v>
      </c>
      <c r="R61" s="623">
        <f t="shared" si="21"/>
        <v>13.2</v>
      </c>
      <c r="S61" s="623">
        <f t="shared" si="21"/>
        <v>13.2</v>
      </c>
      <c r="T61" s="623">
        <f t="shared" si="21"/>
        <v>13.2</v>
      </c>
      <c r="U61" s="623">
        <f t="shared" si="21"/>
        <v>13.2</v>
      </c>
      <c r="V61" s="623">
        <f t="shared" si="21"/>
        <v>13.2</v>
      </c>
      <c r="W61" s="623">
        <f t="shared" si="21"/>
        <v>13.2</v>
      </c>
      <c r="X61" s="623">
        <f t="shared" si="21"/>
        <v>13.2</v>
      </c>
      <c r="Y61" s="623">
        <f t="shared" si="21"/>
        <v>13.2</v>
      </c>
      <c r="Z61" s="623">
        <f t="shared" si="21"/>
        <v>13.2</v>
      </c>
      <c r="AA61" s="623">
        <f t="shared" si="21"/>
        <v>13.2</v>
      </c>
      <c r="AB61" s="623">
        <f t="shared" si="21"/>
        <v>13.2</v>
      </c>
      <c r="AC61" s="623">
        <f t="shared" si="21"/>
        <v>13.2</v>
      </c>
      <c r="AD61" s="623">
        <f t="shared" si="21"/>
        <v>13.2</v>
      </c>
      <c r="AE61" s="623">
        <f t="shared" si="21"/>
        <v>13.2</v>
      </c>
      <c r="AF61" s="623">
        <f t="shared" si="21"/>
        <v>13.2</v>
      </c>
      <c r="AG61" s="623">
        <f t="shared" si="21"/>
        <v>13.2</v>
      </c>
      <c r="AH61" s="623">
        <f t="shared" si="21"/>
        <v>13.2</v>
      </c>
      <c r="AI61" s="623">
        <f t="shared" si="21"/>
        <v>13.2</v>
      </c>
      <c r="AJ61" s="623">
        <f t="shared" si="21"/>
        <v>13.2</v>
      </c>
      <c r="AK61" s="623">
        <f t="shared" si="21"/>
        <v>13.2</v>
      </c>
      <c r="AL61" s="623">
        <f t="shared" si="21"/>
        <v>13.2</v>
      </c>
      <c r="AM61" s="623">
        <f t="shared" si="21"/>
        <v>13.2</v>
      </c>
      <c r="AN61" s="623">
        <f t="shared" si="21"/>
        <v>13.2</v>
      </c>
      <c r="AO61" s="623">
        <f t="shared" si="21"/>
        <v>13.2</v>
      </c>
      <c r="AP61" s="623">
        <f t="shared" si="21"/>
        <v>13.2</v>
      </c>
      <c r="AQ61" s="623">
        <f t="shared" si="21"/>
        <v>13.2</v>
      </c>
      <c r="AR61" s="623">
        <f t="shared" si="21"/>
        <v>13.2</v>
      </c>
      <c r="AS61" s="623">
        <f t="shared" si="21"/>
        <v>13.2</v>
      </c>
      <c r="AT61" s="623">
        <f t="shared" si="21"/>
        <v>13.2</v>
      </c>
      <c r="AU61" s="623">
        <f t="shared" si="21"/>
        <v>13.2</v>
      </c>
      <c r="AV61" s="623">
        <f t="shared" si="21"/>
        <v>13.2</v>
      </c>
      <c r="AW61" s="623">
        <f t="shared" si="21"/>
        <v>13.2</v>
      </c>
      <c r="AX61" s="623">
        <f t="shared" si="21"/>
        <v>13.2</v>
      </c>
      <c r="AY61" s="623">
        <f t="shared" si="21"/>
        <v>13.2</v>
      </c>
      <c r="AZ61" s="623">
        <f t="shared" si="21"/>
        <v>13.2</v>
      </c>
      <c r="BA61" s="623">
        <f t="shared" si="21"/>
        <v>13.2</v>
      </c>
      <c r="BB61" s="623">
        <f t="shared" si="21"/>
        <v>13.2</v>
      </c>
      <c r="BC61" s="623">
        <f t="shared" si="21"/>
        <v>13.2</v>
      </c>
      <c r="BD61" s="623">
        <f t="shared" si="21"/>
        <v>13.2</v>
      </c>
      <c r="BE61" s="623">
        <f t="shared" si="21"/>
        <v>13.2</v>
      </c>
      <c r="BF61" s="623">
        <f t="shared" si="21"/>
        <v>13.2</v>
      </c>
      <c r="BG61" s="623">
        <f t="shared" si="21"/>
        <v>13.2</v>
      </c>
      <c r="BH61" s="623">
        <f t="shared" si="21"/>
        <v>13.2</v>
      </c>
      <c r="BI61" s="623">
        <f t="shared" si="21"/>
        <v>13.2</v>
      </c>
      <c r="BJ61" s="623">
        <f t="shared" si="21"/>
        <v>13.2</v>
      </c>
      <c r="BK61" s="623">
        <f t="shared" si="21"/>
        <v>13.2</v>
      </c>
      <c r="BL61" s="623">
        <f t="shared" si="21"/>
        <v>13.2</v>
      </c>
      <c r="BM61" s="623">
        <f t="shared" si="21"/>
        <v>13.2</v>
      </c>
      <c r="BN61" s="623">
        <f t="shared" si="21"/>
        <v>13.2</v>
      </c>
      <c r="BO61" s="623">
        <f t="shared" si="21"/>
        <v>13.2</v>
      </c>
      <c r="BP61" s="623">
        <f t="shared" si="21"/>
        <v>13.2</v>
      </c>
      <c r="BQ61" s="623">
        <f t="shared" si="21"/>
        <v>13.2</v>
      </c>
      <c r="BR61" s="623">
        <f t="shared" si="21"/>
        <v>13.2</v>
      </c>
      <c r="BS61" s="623">
        <f t="shared" si="21"/>
        <v>13.2</v>
      </c>
      <c r="BT61" s="623">
        <f t="shared" ref="BT61:CI61" si="22">SUM(BT55:BT60)</f>
        <v>13.2</v>
      </c>
      <c r="BU61" s="623">
        <f t="shared" si="22"/>
        <v>13.2</v>
      </c>
      <c r="BV61" s="623">
        <f t="shared" si="22"/>
        <v>13.2</v>
      </c>
      <c r="BW61" s="623">
        <f t="shared" si="22"/>
        <v>13.2</v>
      </c>
      <c r="BX61" s="623">
        <f t="shared" si="22"/>
        <v>13.2</v>
      </c>
      <c r="BY61" s="623">
        <f t="shared" si="22"/>
        <v>13.2</v>
      </c>
      <c r="BZ61" s="623">
        <f t="shared" si="22"/>
        <v>13.2</v>
      </c>
      <c r="CA61" s="623">
        <f t="shared" si="22"/>
        <v>13.2</v>
      </c>
      <c r="CB61" s="623">
        <f t="shared" si="22"/>
        <v>13.2</v>
      </c>
      <c r="CC61" s="623">
        <f t="shared" si="22"/>
        <v>13.2</v>
      </c>
      <c r="CD61" s="623">
        <f t="shared" si="22"/>
        <v>13.2</v>
      </c>
      <c r="CE61" s="623">
        <f t="shared" si="22"/>
        <v>13.2</v>
      </c>
      <c r="CF61" s="623">
        <f t="shared" si="22"/>
        <v>13.2</v>
      </c>
      <c r="CG61" s="623">
        <f t="shared" si="22"/>
        <v>13.2</v>
      </c>
      <c r="CH61" s="623">
        <f t="shared" si="22"/>
        <v>13.2</v>
      </c>
      <c r="CI61" s="619">
        <f t="shared" si="22"/>
        <v>13.2</v>
      </c>
      <c r="CJ61" s="1410"/>
      <c r="CK61" s="605"/>
    </row>
    <row r="62" spans="1:89" s="64" customFormat="1" ht="15" customHeight="1" thickBot="1" x14ac:dyDescent="0.4">
      <c r="A62" s="58"/>
      <c r="B62" s="658" t="s">
        <v>392</v>
      </c>
      <c r="C62" s="659" t="s">
        <v>393</v>
      </c>
      <c r="D62" s="660" t="s">
        <v>394</v>
      </c>
      <c r="E62" s="661" t="s">
        <v>395</v>
      </c>
      <c r="F62" s="629">
        <v>2</v>
      </c>
      <c r="G62" s="630">
        <f>(G61*1000000)/(G76*1000)</f>
        <v>91.356337084582435</v>
      </c>
      <c r="H62" s="630">
        <f t="shared" ref="H62:BS62" si="23">(H61*1000000)/(H76*1000)</f>
        <v>92.415557851112382</v>
      </c>
      <c r="I62" s="630">
        <f t="shared" si="23"/>
        <v>91.880906202541965</v>
      </c>
      <c r="J62" s="630">
        <f t="shared" si="23"/>
        <v>89.970952742051765</v>
      </c>
      <c r="K62" s="630">
        <f t="shared" si="23"/>
        <v>88.317876267560251</v>
      </c>
      <c r="L62" s="630">
        <f t="shared" si="23"/>
        <v>84.721275820942807</v>
      </c>
      <c r="M62" s="662">
        <f t="shared" si="23"/>
        <v>83.101529161927985</v>
      </c>
      <c r="N62" s="662">
        <f t="shared" si="23"/>
        <v>81.820579981071575</v>
      </c>
      <c r="O62" s="662">
        <f t="shared" si="23"/>
        <v>80.343960725033185</v>
      </c>
      <c r="P62" s="662">
        <f t="shared" si="23"/>
        <v>78.968432702608936</v>
      </c>
      <c r="Q62" s="662">
        <f t="shared" si="23"/>
        <v>77.75945967880881</v>
      </c>
      <c r="R62" s="662">
        <f t="shared" si="23"/>
        <v>76.621589903413209</v>
      </c>
      <c r="S62" s="662">
        <f t="shared" si="23"/>
        <v>75.655342810938251</v>
      </c>
      <c r="T62" s="662">
        <f t="shared" si="23"/>
        <v>74.854066184024902</v>
      </c>
      <c r="U62" s="662">
        <f t="shared" si="23"/>
        <v>74.068690248755672</v>
      </c>
      <c r="V62" s="662">
        <f t="shared" si="23"/>
        <v>73.301955002106567</v>
      </c>
      <c r="W62" s="662">
        <f t="shared" si="23"/>
        <v>72.598629471820047</v>
      </c>
      <c r="X62" s="662">
        <f t="shared" si="23"/>
        <v>71.926919754319371</v>
      </c>
      <c r="Y62" s="662">
        <f t="shared" si="23"/>
        <v>71.301258401743269</v>
      </c>
      <c r="Z62" s="662">
        <f t="shared" si="23"/>
        <v>70.689908271647212</v>
      </c>
      <c r="AA62" s="662">
        <f t="shared" si="23"/>
        <v>70.084215517294453</v>
      </c>
      <c r="AB62" s="662">
        <f t="shared" si="23"/>
        <v>69.484766485873962</v>
      </c>
      <c r="AC62" s="662">
        <f t="shared" si="23"/>
        <v>68.909596642866191</v>
      </c>
      <c r="AD62" s="662">
        <f t="shared" si="23"/>
        <v>68.364529799750798</v>
      </c>
      <c r="AE62" s="662">
        <f t="shared" si="23"/>
        <v>67.840375061656161</v>
      </c>
      <c r="AF62" s="662">
        <f t="shared" si="23"/>
        <v>67.344694204340001</v>
      </c>
      <c r="AG62" s="662">
        <f t="shared" si="23"/>
        <v>66.868305993437261</v>
      </c>
      <c r="AH62" s="662">
        <f t="shared" si="23"/>
        <v>66.418988169931012</v>
      </c>
      <c r="AI62" s="662">
        <f t="shared" si="23"/>
        <v>65.987886250685776</v>
      </c>
      <c r="AJ62" s="662">
        <f t="shared" si="23"/>
        <v>65.581640461327638</v>
      </c>
      <c r="AK62" s="662">
        <f t="shared" si="23"/>
        <v>65.193045032542443</v>
      </c>
      <c r="AL62" s="662">
        <f t="shared" si="23"/>
        <v>64.998695556443721</v>
      </c>
      <c r="AM62" s="662">
        <f t="shared" si="23"/>
        <v>64.812228468653288</v>
      </c>
      <c r="AN62" s="662">
        <f t="shared" si="23"/>
        <v>64.632376293553932</v>
      </c>
      <c r="AO62" s="662">
        <f t="shared" si="23"/>
        <v>64.454698119506389</v>
      </c>
      <c r="AP62" s="662">
        <f t="shared" si="23"/>
        <v>64.278330237397753</v>
      </c>
      <c r="AQ62" s="662">
        <f t="shared" si="23"/>
        <v>64.094453418240079</v>
      </c>
      <c r="AR62" s="662">
        <f t="shared" si="23"/>
        <v>63.918660756846656</v>
      </c>
      <c r="AS62" s="662">
        <f t="shared" si="23"/>
        <v>63.756158021830856</v>
      </c>
      <c r="AT62" s="662">
        <f t="shared" si="23"/>
        <v>63.607524647923761</v>
      </c>
      <c r="AU62" s="662">
        <f t="shared" si="23"/>
        <v>63.456370294069309</v>
      </c>
      <c r="AV62" s="662">
        <f t="shared" si="23"/>
        <v>63.312906610013442</v>
      </c>
      <c r="AW62" s="662">
        <f t="shared" si="23"/>
        <v>63.17162721185786</v>
      </c>
      <c r="AX62" s="662">
        <f t="shared" si="23"/>
        <v>63.032904579675524</v>
      </c>
      <c r="AY62" s="662">
        <f t="shared" si="23"/>
        <v>62.888217383759887</v>
      </c>
      <c r="AZ62" s="662">
        <f t="shared" si="23"/>
        <v>62.742052314080226</v>
      </c>
      <c r="BA62" s="662">
        <f t="shared" si="23"/>
        <v>62.588794269016319</v>
      </c>
      <c r="BB62" s="662">
        <f t="shared" si="23"/>
        <v>62.439378577042014</v>
      </c>
      <c r="BC62" s="662">
        <f t="shared" si="23"/>
        <v>62.290027831095713</v>
      </c>
      <c r="BD62" s="662">
        <f t="shared" si="23"/>
        <v>62.141707392144767</v>
      </c>
      <c r="BE62" s="662">
        <f t="shared" si="23"/>
        <v>61.989187827544136</v>
      </c>
      <c r="BF62" s="662">
        <f t="shared" si="23"/>
        <v>61.83482025359816</v>
      </c>
      <c r="BG62" s="662">
        <f t="shared" si="23"/>
        <v>61.674842317950265</v>
      </c>
      <c r="BH62" s="662">
        <f t="shared" si="23"/>
        <v>61.514468532660516</v>
      </c>
      <c r="BI62" s="662">
        <f t="shared" si="23"/>
        <v>61.349496028415302</v>
      </c>
      <c r="BJ62" s="662">
        <f t="shared" si="23"/>
        <v>61.188355875407119</v>
      </c>
      <c r="BK62" s="662">
        <f t="shared" si="23"/>
        <v>61.02208469559443</v>
      </c>
      <c r="BL62" s="662">
        <f t="shared" si="23"/>
        <v>60.860220033341086</v>
      </c>
      <c r="BM62" s="662">
        <f t="shared" si="23"/>
        <v>60.694763457742653</v>
      </c>
      <c r="BN62" s="662">
        <f t="shared" si="23"/>
        <v>60.526931266600208</v>
      </c>
      <c r="BO62" s="662">
        <f t="shared" si="23"/>
        <v>60.352984684625795</v>
      </c>
      <c r="BP62" s="662">
        <f t="shared" si="23"/>
        <v>60.173288499525903</v>
      </c>
      <c r="BQ62" s="662">
        <f t="shared" si="23"/>
        <v>59.985074185286599</v>
      </c>
      <c r="BR62" s="662">
        <f t="shared" si="23"/>
        <v>59.794196783637325</v>
      </c>
      <c r="BS62" s="662">
        <f t="shared" si="23"/>
        <v>59.599886286725656</v>
      </c>
      <c r="BT62" s="662">
        <f t="shared" ref="BT62:CI62" si="24">(BT61*1000000)/(BT76*1000)</f>
        <v>59.405576327192861</v>
      </c>
      <c r="BU62" s="662">
        <f t="shared" si="24"/>
        <v>59.205110717109143</v>
      </c>
      <c r="BV62" s="662">
        <f t="shared" si="24"/>
        <v>59.003608136667957</v>
      </c>
      <c r="BW62" s="662">
        <f t="shared" si="24"/>
        <v>58.799477358990636</v>
      </c>
      <c r="BX62" s="662">
        <f t="shared" si="24"/>
        <v>58.59549117823348</v>
      </c>
      <c r="BY62" s="662">
        <f t="shared" si="24"/>
        <v>58.385934753735988</v>
      </c>
      <c r="BZ62" s="662">
        <f t="shared" si="24"/>
        <v>58.173595040630836</v>
      </c>
      <c r="CA62" s="662">
        <f t="shared" si="24"/>
        <v>57.957792662455908</v>
      </c>
      <c r="CB62" s="662">
        <f t="shared" si="24"/>
        <v>57.743667292428611</v>
      </c>
      <c r="CC62" s="662">
        <f t="shared" si="24"/>
        <v>57.531011014338951</v>
      </c>
      <c r="CD62" s="662">
        <f t="shared" si="24"/>
        <v>57.319993042169386</v>
      </c>
      <c r="CE62" s="662">
        <f t="shared" si="24"/>
        <v>57.107237304325984</v>
      </c>
      <c r="CF62" s="662">
        <f t="shared" si="24"/>
        <v>56.898755998377275</v>
      </c>
      <c r="CG62" s="662">
        <f t="shared" si="24"/>
        <v>56.693529246863918</v>
      </c>
      <c r="CH62" s="662">
        <f t="shared" si="24"/>
        <v>56.49505059945438</v>
      </c>
      <c r="CI62" s="631">
        <f t="shared" si="24"/>
        <v>56.298141297049412</v>
      </c>
      <c r="CJ62" s="1410"/>
      <c r="CK62" s="605"/>
    </row>
    <row r="63" spans="1:89" s="1621" customFormat="1" x14ac:dyDescent="0.35">
      <c r="A63" s="1618"/>
      <c r="B63" s="632" t="s">
        <v>396</v>
      </c>
      <c r="C63" s="633" t="s">
        <v>397</v>
      </c>
      <c r="D63" s="663" t="s">
        <v>82</v>
      </c>
      <c r="E63" s="664" t="s">
        <v>398</v>
      </c>
      <c r="F63" s="665">
        <v>2</v>
      </c>
      <c r="G63" s="666">
        <v>9.07</v>
      </c>
      <c r="H63" s="666">
        <v>8.1199999999999992</v>
      </c>
      <c r="I63" s="666">
        <v>8.17</v>
      </c>
      <c r="J63" s="666">
        <v>8.1999999999999993</v>
      </c>
      <c r="K63" s="666">
        <v>8.24</v>
      </c>
      <c r="L63" s="666">
        <v>8.27</v>
      </c>
      <c r="M63" s="667">
        <v>8.31</v>
      </c>
      <c r="N63" s="667">
        <v>8.34</v>
      </c>
      <c r="O63" s="667">
        <v>8.3800000000000008</v>
      </c>
      <c r="P63" s="667">
        <v>8.41</v>
      </c>
      <c r="Q63" s="667">
        <v>8.4499999999999993</v>
      </c>
      <c r="R63" s="667">
        <v>8.48</v>
      </c>
      <c r="S63" s="667">
        <v>8.52</v>
      </c>
      <c r="T63" s="667">
        <v>8.5500000000000007</v>
      </c>
      <c r="U63" s="667">
        <v>8.59</v>
      </c>
      <c r="V63" s="667">
        <v>8.6199999999999992</v>
      </c>
      <c r="W63" s="667">
        <v>8.66</v>
      </c>
      <c r="X63" s="667">
        <v>8.69</v>
      </c>
      <c r="Y63" s="667">
        <v>8.73</v>
      </c>
      <c r="Z63" s="667">
        <v>8.76</v>
      </c>
      <c r="AA63" s="667">
        <v>8.8000000000000007</v>
      </c>
      <c r="AB63" s="667">
        <v>8.83</v>
      </c>
      <c r="AC63" s="667">
        <v>8.8699999999999992</v>
      </c>
      <c r="AD63" s="667">
        <v>8.9</v>
      </c>
      <c r="AE63" s="667">
        <v>8.94</v>
      </c>
      <c r="AF63" s="667">
        <v>8.9700000000000006</v>
      </c>
      <c r="AG63" s="667">
        <v>9.01</v>
      </c>
      <c r="AH63" s="667">
        <v>9.0399999999999991</v>
      </c>
      <c r="AI63" s="667">
        <v>9.08</v>
      </c>
      <c r="AJ63" s="667">
        <v>9.11</v>
      </c>
      <c r="AK63" s="667">
        <v>9.15</v>
      </c>
      <c r="AL63" s="667">
        <v>9.18</v>
      </c>
      <c r="AM63" s="667">
        <v>9.2200000000000006</v>
      </c>
      <c r="AN63" s="667">
        <v>9.25</v>
      </c>
      <c r="AO63" s="667">
        <v>9.2899999999999991</v>
      </c>
      <c r="AP63" s="667">
        <v>9.32</v>
      </c>
      <c r="AQ63" s="667">
        <v>9.36</v>
      </c>
      <c r="AR63" s="667">
        <v>9.39</v>
      </c>
      <c r="AS63" s="667">
        <v>9.43</v>
      </c>
      <c r="AT63" s="667">
        <v>9.4600000000000009</v>
      </c>
      <c r="AU63" s="667">
        <v>9.5</v>
      </c>
      <c r="AV63" s="667">
        <v>9.5299999999999994</v>
      </c>
      <c r="AW63" s="667">
        <v>9.57</v>
      </c>
      <c r="AX63" s="667">
        <v>9.6</v>
      </c>
      <c r="AY63" s="667">
        <v>9.64</v>
      </c>
      <c r="AZ63" s="667">
        <v>9.67</v>
      </c>
      <c r="BA63" s="667">
        <v>9.7100000000000009</v>
      </c>
      <c r="BB63" s="667">
        <v>9.74</v>
      </c>
      <c r="BC63" s="667">
        <v>9.7799999999999994</v>
      </c>
      <c r="BD63" s="667">
        <v>9.81</v>
      </c>
      <c r="BE63" s="667">
        <v>9.85</v>
      </c>
      <c r="BF63" s="667">
        <v>9.8800000000000008</v>
      </c>
      <c r="BG63" s="667">
        <v>9.92</v>
      </c>
      <c r="BH63" s="667">
        <v>9.9499999999999993</v>
      </c>
      <c r="BI63" s="667">
        <v>9.99</v>
      </c>
      <c r="BJ63" s="667">
        <v>10.02</v>
      </c>
      <c r="BK63" s="667">
        <v>10.06</v>
      </c>
      <c r="BL63" s="667">
        <v>10.09</v>
      </c>
      <c r="BM63" s="667">
        <v>10.130000000000001</v>
      </c>
      <c r="BN63" s="667">
        <v>10.16</v>
      </c>
      <c r="BO63" s="667">
        <v>10.199999999999999</v>
      </c>
      <c r="BP63" s="667">
        <v>10.23</v>
      </c>
      <c r="BQ63" s="667">
        <v>10.27</v>
      </c>
      <c r="BR63" s="667">
        <v>10.3</v>
      </c>
      <c r="BS63" s="667">
        <v>10.34</v>
      </c>
      <c r="BT63" s="667">
        <v>10.37</v>
      </c>
      <c r="BU63" s="667">
        <v>10.41</v>
      </c>
      <c r="BV63" s="667">
        <v>10.44</v>
      </c>
      <c r="BW63" s="667">
        <v>10.48</v>
      </c>
      <c r="BX63" s="667">
        <v>10.51</v>
      </c>
      <c r="BY63" s="667">
        <v>10.55</v>
      </c>
      <c r="BZ63" s="667">
        <v>10.58</v>
      </c>
      <c r="CA63" s="667">
        <v>10.62</v>
      </c>
      <c r="CB63" s="667">
        <v>10.65</v>
      </c>
      <c r="CC63" s="667">
        <v>10.69</v>
      </c>
      <c r="CD63" s="667">
        <v>10.72</v>
      </c>
      <c r="CE63" s="667">
        <v>10.76</v>
      </c>
      <c r="CF63" s="667">
        <v>10.79</v>
      </c>
      <c r="CG63" s="667">
        <v>10.83</v>
      </c>
      <c r="CH63" s="667">
        <v>10.86</v>
      </c>
      <c r="CI63" s="668">
        <v>10.9</v>
      </c>
      <c r="CJ63" s="1619"/>
      <c r="CK63" s="1620"/>
    </row>
    <row r="64" spans="1:89" s="1621" customFormat="1" x14ac:dyDescent="0.35">
      <c r="A64" s="1618"/>
      <c r="B64" s="634" t="s">
        <v>399</v>
      </c>
      <c r="C64" s="635" t="s">
        <v>400</v>
      </c>
      <c r="D64" s="669" t="s">
        <v>82</v>
      </c>
      <c r="E64" s="646" t="s">
        <v>398</v>
      </c>
      <c r="F64" s="647">
        <v>2</v>
      </c>
      <c r="G64" s="670">
        <v>0.49</v>
      </c>
      <c r="H64" s="670">
        <v>0.48</v>
      </c>
      <c r="I64" s="670">
        <v>0.48</v>
      </c>
      <c r="J64" s="670">
        <v>0.47</v>
      </c>
      <c r="K64" s="670">
        <v>0.46</v>
      </c>
      <c r="L64" s="670">
        <v>0.45</v>
      </c>
      <c r="M64" s="671">
        <v>0.44</v>
      </c>
      <c r="N64" s="671">
        <v>0.43</v>
      </c>
      <c r="O64" s="671">
        <v>0.42</v>
      </c>
      <c r="P64" s="671">
        <v>0.41</v>
      </c>
      <c r="Q64" s="671">
        <v>0.4</v>
      </c>
      <c r="R64" s="671">
        <v>0.39</v>
      </c>
      <c r="S64" s="671">
        <v>0.38</v>
      </c>
      <c r="T64" s="671">
        <v>0.37</v>
      </c>
      <c r="U64" s="671">
        <v>0.36</v>
      </c>
      <c r="V64" s="671">
        <v>0.35</v>
      </c>
      <c r="W64" s="671">
        <v>0.34</v>
      </c>
      <c r="X64" s="671">
        <v>0.33</v>
      </c>
      <c r="Y64" s="671">
        <v>0.32</v>
      </c>
      <c r="Z64" s="671">
        <v>0.31</v>
      </c>
      <c r="AA64" s="671">
        <v>0.3</v>
      </c>
      <c r="AB64" s="671">
        <v>0.28999999999999998</v>
      </c>
      <c r="AC64" s="671">
        <v>0.28000000000000003</v>
      </c>
      <c r="AD64" s="671">
        <v>0.27</v>
      </c>
      <c r="AE64" s="671">
        <v>0.26</v>
      </c>
      <c r="AF64" s="671">
        <v>0.25</v>
      </c>
      <c r="AG64" s="671">
        <v>0.24</v>
      </c>
      <c r="AH64" s="671">
        <v>0.23</v>
      </c>
      <c r="AI64" s="671">
        <v>0.22</v>
      </c>
      <c r="AJ64" s="671">
        <v>0.21</v>
      </c>
      <c r="AK64" s="671">
        <v>0.2</v>
      </c>
      <c r="AL64" s="671">
        <v>0.19</v>
      </c>
      <c r="AM64" s="671">
        <v>0.18</v>
      </c>
      <c r="AN64" s="671">
        <v>0.17</v>
      </c>
      <c r="AO64" s="671">
        <v>0.16</v>
      </c>
      <c r="AP64" s="671">
        <v>0.15</v>
      </c>
      <c r="AQ64" s="671">
        <v>0.14000000000000001</v>
      </c>
      <c r="AR64" s="671">
        <v>0.13</v>
      </c>
      <c r="AS64" s="671">
        <v>0.12</v>
      </c>
      <c r="AT64" s="671">
        <v>0.11</v>
      </c>
      <c r="AU64" s="671">
        <v>0.1</v>
      </c>
      <c r="AV64" s="671">
        <v>0.09</v>
      </c>
      <c r="AW64" s="671">
        <v>0.08</v>
      </c>
      <c r="AX64" s="671">
        <v>7.0000000000000007E-2</v>
      </c>
      <c r="AY64" s="671">
        <v>0.06</v>
      </c>
      <c r="AZ64" s="671">
        <v>0.05</v>
      </c>
      <c r="BA64" s="671">
        <v>0.04</v>
      </c>
      <c r="BB64" s="671">
        <v>0.03</v>
      </c>
      <c r="BC64" s="671">
        <v>0.02</v>
      </c>
      <c r="BD64" s="671">
        <v>0.01</v>
      </c>
      <c r="BE64" s="671">
        <v>0</v>
      </c>
      <c r="BF64" s="671">
        <v>0</v>
      </c>
      <c r="BG64" s="671">
        <v>0</v>
      </c>
      <c r="BH64" s="671">
        <v>0</v>
      </c>
      <c r="BI64" s="671">
        <v>0</v>
      </c>
      <c r="BJ64" s="671">
        <v>0</v>
      </c>
      <c r="BK64" s="671">
        <v>0</v>
      </c>
      <c r="BL64" s="671">
        <v>0</v>
      </c>
      <c r="BM64" s="671">
        <v>0</v>
      </c>
      <c r="BN64" s="671">
        <v>0</v>
      </c>
      <c r="BO64" s="671">
        <v>0</v>
      </c>
      <c r="BP64" s="671">
        <v>0</v>
      </c>
      <c r="BQ64" s="671">
        <v>0</v>
      </c>
      <c r="BR64" s="671">
        <v>0</v>
      </c>
      <c r="BS64" s="671">
        <v>0</v>
      </c>
      <c r="BT64" s="671">
        <v>0</v>
      </c>
      <c r="BU64" s="671">
        <v>0</v>
      </c>
      <c r="BV64" s="671">
        <v>0</v>
      </c>
      <c r="BW64" s="671">
        <v>0</v>
      </c>
      <c r="BX64" s="671">
        <v>0</v>
      </c>
      <c r="BY64" s="671">
        <v>0</v>
      </c>
      <c r="BZ64" s="671">
        <v>0</v>
      </c>
      <c r="CA64" s="671">
        <v>0</v>
      </c>
      <c r="CB64" s="671">
        <v>0</v>
      </c>
      <c r="CC64" s="671">
        <v>0</v>
      </c>
      <c r="CD64" s="671">
        <v>0</v>
      </c>
      <c r="CE64" s="671">
        <v>0</v>
      </c>
      <c r="CF64" s="671">
        <v>0</v>
      </c>
      <c r="CG64" s="671">
        <v>0</v>
      </c>
      <c r="CH64" s="671">
        <v>0</v>
      </c>
      <c r="CI64" s="672">
        <v>0</v>
      </c>
      <c r="CJ64" s="1619"/>
      <c r="CK64" s="1620"/>
    </row>
    <row r="65" spans="1:89" s="1621" customFormat="1" x14ac:dyDescent="0.35">
      <c r="A65" s="1618"/>
      <c r="B65" s="673" t="s">
        <v>401</v>
      </c>
      <c r="C65" s="674" t="s">
        <v>402</v>
      </c>
      <c r="D65" s="669" t="s">
        <v>82</v>
      </c>
      <c r="E65" s="646" t="s">
        <v>398</v>
      </c>
      <c r="F65" s="647">
        <v>2</v>
      </c>
      <c r="G65" s="670">
        <v>0.37</v>
      </c>
      <c r="H65" s="670">
        <v>0.33</v>
      </c>
      <c r="I65" s="670">
        <v>0.31</v>
      </c>
      <c r="J65" s="670">
        <v>0.31</v>
      </c>
      <c r="K65" s="670">
        <v>0.31</v>
      </c>
      <c r="L65" s="670">
        <v>0.31</v>
      </c>
      <c r="M65" s="671">
        <v>0.31</v>
      </c>
      <c r="N65" s="671">
        <v>0.31</v>
      </c>
      <c r="O65" s="671">
        <v>0.31</v>
      </c>
      <c r="P65" s="671">
        <v>0.31</v>
      </c>
      <c r="Q65" s="671">
        <v>0.31</v>
      </c>
      <c r="R65" s="671">
        <v>0.31</v>
      </c>
      <c r="S65" s="671">
        <v>0.31</v>
      </c>
      <c r="T65" s="671">
        <v>0.31</v>
      </c>
      <c r="U65" s="671">
        <v>0.31</v>
      </c>
      <c r="V65" s="671">
        <v>0.31</v>
      </c>
      <c r="W65" s="671">
        <v>0.31</v>
      </c>
      <c r="X65" s="671">
        <v>0.31</v>
      </c>
      <c r="Y65" s="671">
        <v>0.31</v>
      </c>
      <c r="Z65" s="671">
        <v>0.31</v>
      </c>
      <c r="AA65" s="671">
        <v>0.31</v>
      </c>
      <c r="AB65" s="671">
        <v>0.31</v>
      </c>
      <c r="AC65" s="671">
        <v>0.31</v>
      </c>
      <c r="AD65" s="671">
        <v>0.31</v>
      </c>
      <c r="AE65" s="671">
        <v>0.31</v>
      </c>
      <c r="AF65" s="671">
        <v>0.31</v>
      </c>
      <c r="AG65" s="671">
        <v>0.31</v>
      </c>
      <c r="AH65" s="671">
        <v>0.31</v>
      </c>
      <c r="AI65" s="671">
        <v>0.31</v>
      </c>
      <c r="AJ65" s="671">
        <v>0.31</v>
      </c>
      <c r="AK65" s="671">
        <v>0.31</v>
      </c>
      <c r="AL65" s="671">
        <v>0.31</v>
      </c>
      <c r="AM65" s="671">
        <v>0.31</v>
      </c>
      <c r="AN65" s="671">
        <v>0.31</v>
      </c>
      <c r="AO65" s="671">
        <v>0.31</v>
      </c>
      <c r="AP65" s="671">
        <v>0.31</v>
      </c>
      <c r="AQ65" s="671">
        <v>0.31</v>
      </c>
      <c r="AR65" s="671">
        <v>0.31</v>
      </c>
      <c r="AS65" s="671">
        <v>0.31</v>
      </c>
      <c r="AT65" s="671">
        <v>0.31</v>
      </c>
      <c r="AU65" s="671">
        <v>0.31</v>
      </c>
      <c r="AV65" s="671">
        <v>0.31</v>
      </c>
      <c r="AW65" s="671">
        <v>0.31</v>
      </c>
      <c r="AX65" s="671">
        <v>0.31</v>
      </c>
      <c r="AY65" s="671">
        <v>0.31</v>
      </c>
      <c r="AZ65" s="671">
        <v>0.31</v>
      </c>
      <c r="BA65" s="671">
        <v>0.31</v>
      </c>
      <c r="BB65" s="671">
        <v>0.31</v>
      </c>
      <c r="BC65" s="671">
        <v>0.31</v>
      </c>
      <c r="BD65" s="671">
        <v>0.31</v>
      </c>
      <c r="BE65" s="671">
        <v>0.31</v>
      </c>
      <c r="BF65" s="671">
        <v>0.31</v>
      </c>
      <c r="BG65" s="671">
        <v>0.31</v>
      </c>
      <c r="BH65" s="671">
        <v>0.31</v>
      </c>
      <c r="BI65" s="671">
        <v>0.31</v>
      </c>
      <c r="BJ65" s="671">
        <v>0.31</v>
      </c>
      <c r="BK65" s="671">
        <v>0.31</v>
      </c>
      <c r="BL65" s="671">
        <v>0.31</v>
      </c>
      <c r="BM65" s="671">
        <v>0.31</v>
      </c>
      <c r="BN65" s="671">
        <v>0.31</v>
      </c>
      <c r="BO65" s="671">
        <v>0.31</v>
      </c>
      <c r="BP65" s="671">
        <v>0.31</v>
      </c>
      <c r="BQ65" s="671">
        <v>0.31</v>
      </c>
      <c r="BR65" s="671">
        <v>0.31</v>
      </c>
      <c r="BS65" s="671">
        <v>0.31</v>
      </c>
      <c r="BT65" s="671">
        <v>0.31</v>
      </c>
      <c r="BU65" s="671">
        <v>0.31</v>
      </c>
      <c r="BV65" s="671">
        <v>0.31</v>
      </c>
      <c r="BW65" s="671">
        <v>0.31</v>
      </c>
      <c r="BX65" s="671">
        <v>0.31</v>
      </c>
      <c r="BY65" s="671">
        <v>0.31</v>
      </c>
      <c r="BZ65" s="671">
        <v>0.31</v>
      </c>
      <c r="CA65" s="671">
        <v>0.31</v>
      </c>
      <c r="CB65" s="671">
        <v>0.31</v>
      </c>
      <c r="CC65" s="671">
        <v>0.31</v>
      </c>
      <c r="CD65" s="671">
        <v>0.31</v>
      </c>
      <c r="CE65" s="671">
        <v>0.31</v>
      </c>
      <c r="CF65" s="671">
        <v>0.31</v>
      </c>
      <c r="CG65" s="671">
        <v>0.31</v>
      </c>
      <c r="CH65" s="671">
        <v>0.31</v>
      </c>
      <c r="CI65" s="672">
        <v>0.31</v>
      </c>
      <c r="CJ65" s="1619"/>
      <c r="CK65" s="1620"/>
    </row>
    <row r="66" spans="1:89" s="1621" customFormat="1" x14ac:dyDescent="0.35">
      <c r="A66" s="1618"/>
      <c r="B66" s="673" t="s">
        <v>403</v>
      </c>
      <c r="C66" s="674" t="s">
        <v>404</v>
      </c>
      <c r="D66" s="675" t="s">
        <v>405</v>
      </c>
      <c r="E66" s="676" t="s">
        <v>398</v>
      </c>
      <c r="F66" s="677">
        <v>2</v>
      </c>
      <c r="G66" s="670">
        <v>100.11</v>
      </c>
      <c r="H66" s="623">
        <f>G66+SUM(H67:H72)</f>
        <v>100.11</v>
      </c>
      <c r="I66" s="623">
        <v>101.199</v>
      </c>
      <c r="J66" s="623">
        <f t="shared" ref="J66:BS66" si="25">I66+SUM(J67:J72)</f>
        <v>105.0412953</v>
      </c>
      <c r="K66" s="623">
        <f t="shared" si="25"/>
        <v>108.548079</v>
      </c>
      <c r="L66" s="623">
        <f t="shared" si="25"/>
        <v>112.0755468</v>
      </c>
      <c r="M66" s="623">
        <f>L66+SUM(M67:M72)</f>
        <v>115.78398799999999</v>
      </c>
      <c r="N66" s="623">
        <f t="shared" si="25"/>
        <v>118.94023299999999</v>
      </c>
      <c r="O66" s="623">
        <f t="shared" si="25"/>
        <v>122.55046610000001</v>
      </c>
      <c r="P66" s="623">
        <f t="shared" si="25"/>
        <v>126.0583962</v>
      </c>
      <c r="Q66" s="623">
        <f t="shared" si="25"/>
        <v>129.28527069999998</v>
      </c>
      <c r="R66" s="623">
        <f t="shared" si="25"/>
        <v>132.4369987</v>
      </c>
      <c r="S66" s="623">
        <f t="shared" si="25"/>
        <v>135.25173130000002</v>
      </c>
      <c r="T66" s="623">
        <f t="shared" si="25"/>
        <v>137.73850570000002</v>
      </c>
      <c r="U66" s="623">
        <f t="shared" si="25"/>
        <v>140.210138</v>
      </c>
      <c r="V66" s="623">
        <f t="shared" si="25"/>
        <v>142.6766475</v>
      </c>
      <c r="W66" s="623">
        <f t="shared" si="25"/>
        <v>145.001971</v>
      </c>
      <c r="X66" s="623">
        <f t="shared" si="25"/>
        <v>147.2767321</v>
      </c>
      <c r="Y66" s="623">
        <f t="shared" si="25"/>
        <v>149.43750949999998</v>
      </c>
      <c r="Z66" s="623">
        <f t="shared" si="25"/>
        <v>151.58325630000002</v>
      </c>
      <c r="AA66" s="623">
        <f t="shared" si="25"/>
        <v>153.71659529999999</v>
      </c>
      <c r="AB66" s="623">
        <f t="shared" si="25"/>
        <v>155.85642439999998</v>
      </c>
      <c r="AC66" s="623">
        <f t="shared" si="25"/>
        <v>157.9329759</v>
      </c>
      <c r="AD66" s="623">
        <f t="shared" si="25"/>
        <v>159.94762689999999</v>
      </c>
      <c r="AE66" s="623">
        <f t="shared" si="25"/>
        <v>161.90377660000001</v>
      </c>
      <c r="AF66" s="623">
        <f t="shared" si="25"/>
        <v>163.79765460000002</v>
      </c>
      <c r="AG66" s="623">
        <f t="shared" si="25"/>
        <v>165.63364150000001</v>
      </c>
      <c r="AH66" s="623">
        <f t="shared" si="25"/>
        <v>167.40689209999999</v>
      </c>
      <c r="AI66" s="623">
        <f t="shared" si="25"/>
        <v>169.12179949999998</v>
      </c>
      <c r="AJ66" s="623">
        <f t="shared" si="25"/>
        <v>170.77644839999999</v>
      </c>
      <c r="AK66" s="623">
        <f t="shared" si="25"/>
        <v>172.37096339999999</v>
      </c>
      <c r="AL66" s="623">
        <f t="shared" si="25"/>
        <v>173.3706655</v>
      </c>
      <c r="AM66" s="623">
        <f t="shared" si="25"/>
        <v>174.32900219999999</v>
      </c>
      <c r="AN66" s="623">
        <f t="shared" si="25"/>
        <v>175.2698341</v>
      </c>
      <c r="AO66" s="623">
        <f t="shared" si="25"/>
        <v>176.18719540000001</v>
      </c>
      <c r="AP66" s="623">
        <f t="shared" si="25"/>
        <v>177.10399729999997</v>
      </c>
      <c r="AQ66" s="623">
        <f t="shared" si="25"/>
        <v>178.02876430000001</v>
      </c>
      <c r="AR66" s="623">
        <f t="shared" si="25"/>
        <v>178.93177590000002</v>
      </c>
      <c r="AS66" s="623">
        <f t="shared" si="25"/>
        <v>179.77594490000001</v>
      </c>
      <c r="AT66" s="623">
        <f t="shared" si="25"/>
        <v>180.57896119999998</v>
      </c>
      <c r="AU66" s="623">
        <f t="shared" si="25"/>
        <v>181.3741359</v>
      </c>
      <c r="AV66" s="623">
        <f t="shared" si="25"/>
        <v>182.14817790000001</v>
      </c>
      <c r="AW66" s="623">
        <f t="shared" si="25"/>
        <v>182.89917209999999</v>
      </c>
      <c r="AX66" s="623">
        <f t="shared" si="25"/>
        <v>183.64599489999998</v>
      </c>
      <c r="AY66" s="623">
        <f t="shared" si="25"/>
        <v>184.3971765</v>
      </c>
      <c r="AZ66" s="623">
        <f t="shared" si="25"/>
        <v>185.15814730000002</v>
      </c>
      <c r="BA66" s="623">
        <f t="shared" si="25"/>
        <v>185.92809359999998</v>
      </c>
      <c r="BB66" s="623">
        <f t="shared" si="25"/>
        <v>186.69053070000001</v>
      </c>
      <c r="BC66" s="623">
        <f t="shared" si="25"/>
        <v>187.4383133</v>
      </c>
      <c r="BD66" s="623">
        <f t="shared" si="25"/>
        <v>188.1883249</v>
      </c>
      <c r="BE66" s="623">
        <f t="shared" si="25"/>
        <v>188.93865969999999</v>
      </c>
      <c r="BF66" s="623">
        <f t="shared" si="25"/>
        <v>189.6915927</v>
      </c>
      <c r="BG66" s="623">
        <f t="shared" si="25"/>
        <v>190.4504513</v>
      </c>
      <c r="BH66" s="623">
        <f t="shared" si="25"/>
        <v>191.21752119999999</v>
      </c>
      <c r="BI66" s="623">
        <f t="shared" si="25"/>
        <v>191.98773490000002</v>
      </c>
      <c r="BJ66" s="623">
        <f t="shared" si="25"/>
        <v>192.7517933</v>
      </c>
      <c r="BK66" s="623">
        <f t="shared" si="25"/>
        <v>193.5214186</v>
      </c>
      <c r="BL66" s="623">
        <f t="shared" si="25"/>
        <v>194.2830769</v>
      </c>
      <c r="BM66" s="623">
        <f t="shared" si="25"/>
        <v>195.04533429999998</v>
      </c>
      <c r="BN66" s="623">
        <f t="shared" si="25"/>
        <v>195.82417599999999</v>
      </c>
      <c r="BO66" s="623">
        <f t="shared" si="25"/>
        <v>196.61344820000002</v>
      </c>
      <c r="BP66" s="623">
        <f t="shared" si="25"/>
        <v>197.43235920000001</v>
      </c>
      <c r="BQ66" s="623">
        <f t="shared" si="25"/>
        <v>198.27159589999999</v>
      </c>
      <c r="BR66" s="623">
        <f t="shared" si="25"/>
        <v>199.13028510000001</v>
      </c>
      <c r="BS66" s="623">
        <f t="shared" si="25"/>
        <v>199.99163469999999</v>
      </c>
      <c r="BT66" s="623">
        <f t="shared" ref="BT66:CI66" si="26">BS66+SUM(BT67:BT72)</f>
        <v>200.8632083</v>
      </c>
      <c r="BU66" s="623">
        <f t="shared" si="26"/>
        <v>201.74834330000002</v>
      </c>
      <c r="BV66" s="623">
        <f t="shared" si="26"/>
        <v>202.6482584</v>
      </c>
      <c r="BW66" s="623">
        <f t="shared" si="26"/>
        <v>203.54926710000001</v>
      </c>
      <c r="BX66" s="623">
        <f t="shared" si="26"/>
        <v>204.4610753</v>
      </c>
      <c r="BY66" s="623">
        <f t="shared" si="26"/>
        <v>205.385955</v>
      </c>
      <c r="BZ66" s="623">
        <f t="shared" si="26"/>
        <v>206.33365710000001</v>
      </c>
      <c r="CA66" s="623">
        <f t="shared" si="26"/>
        <v>207.28724869999999</v>
      </c>
      <c r="CB66" s="623">
        <f t="shared" si="26"/>
        <v>208.24684619999999</v>
      </c>
      <c r="CC66" s="623">
        <f t="shared" si="26"/>
        <v>209.19329190000002</v>
      </c>
      <c r="CD66" s="623">
        <f t="shared" si="26"/>
        <v>210.14593410000001</v>
      </c>
      <c r="CE66" s="623">
        <f t="shared" si="26"/>
        <v>211.0984468</v>
      </c>
      <c r="CF66" s="623">
        <f t="shared" si="26"/>
        <v>212.04662569999999</v>
      </c>
      <c r="CG66" s="623">
        <f t="shared" si="26"/>
        <v>212.97442809999998</v>
      </c>
      <c r="CH66" s="623">
        <f t="shared" si="26"/>
        <v>213.88726170000001</v>
      </c>
      <c r="CI66" s="619">
        <f t="shared" si="26"/>
        <v>214.78624580000002</v>
      </c>
      <c r="CJ66" s="1619"/>
      <c r="CK66" s="1620"/>
    </row>
    <row r="67" spans="1:89" s="1621" customFormat="1" x14ac:dyDescent="0.35">
      <c r="A67" s="1618"/>
      <c r="B67" s="673" t="s">
        <v>406</v>
      </c>
      <c r="C67" s="674" t="s">
        <v>407</v>
      </c>
      <c r="D67" s="675" t="s">
        <v>408</v>
      </c>
      <c r="E67" s="676" t="s">
        <v>398</v>
      </c>
      <c r="F67" s="677">
        <v>2</v>
      </c>
      <c r="G67" s="670"/>
      <c r="H67" s="670"/>
      <c r="I67" s="670"/>
      <c r="J67" s="670">
        <v>3.1014080630000009</v>
      </c>
      <c r="K67" s="670">
        <v>2.7805890369999995</v>
      </c>
      <c r="L67" s="670">
        <v>2.8148553790000008</v>
      </c>
      <c r="M67" s="671">
        <v>3.0068233139999982</v>
      </c>
      <c r="N67" s="671">
        <v>2.4667621400000019</v>
      </c>
      <c r="O67" s="671">
        <v>2.9350135399999964</v>
      </c>
      <c r="P67" s="671">
        <v>2.8417823999999996</v>
      </c>
      <c r="Q67" s="671">
        <v>2.5688654600000014</v>
      </c>
      <c r="R67" s="671">
        <v>2.5009376300000028</v>
      </c>
      <c r="S67" s="671">
        <v>2.1702466200000003</v>
      </c>
      <c r="T67" s="671">
        <v>1.8476754199999981</v>
      </c>
      <c r="U67" s="671">
        <v>1.8398271700000031</v>
      </c>
      <c r="V67" s="671">
        <v>1.8440996299999988</v>
      </c>
      <c r="W67" s="671">
        <v>1.7145616899999965</v>
      </c>
      <c r="X67" s="671">
        <v>1.677992230000001</v>
      </c>
      <c r="Y67" s="671">
        <v>1.5803659700000026</v>
      </c>
      <c r="Z67" s="671">
        <v>1.5810663599999941</v>
      </c>
      <c r="AA67" s="671">
        <v>1.5837961800000073</v>
      </c>
      <c r="AB67" s="671">
        <v>1.6048615899999987</v>
      </c>
      <c r="AC67" s="671">
        <v>1.5556258800000009</v>
      </c>
      <c r="AD67" s="671">
        <v>1.5072606199999967</v>
      </c>
      <c r="AE67" s="671">
        <v>1.4618129599999961</v>
      </c>
      <c r="AF67" s="671">
        <v>1.4121366500000008</v>
      </c>
      <c r="AG67" s="671">
        <v>1.3664044300000029</v>
      </c>
      <c r="AH67" s="671">
        <v>1.3154111799999981</v>
      </c>
      <c r="AI67" s="671">
        <v>1.2683669100000046</v>
      </c>
      <c r="AJ67" s="671">
        <v>1.2191283599999991</v>
      </c>
      <c r="AK67" s="671">
        <v>1.169742620000001</v>
      </c>
      <c r="AL67" s="671">
        <v>0.58541251999999844</v>
      </c>
      <c r="AM67" s="671">
        <v>0.55427120999999602</v>
      </c>
      <c r="AN67" s="671">
        <v>0.5467382900000004</v>
      </c>
      <c r="AO67" s="671">
        <v>0.53299341000000311</v>
      </c>
      <c r="AP67" s="671">
        <v>0.54191971000000194</v>
      </c>
      <c r="AQ67" s="671">
        <v>0.5591364499999969</v>
      </c>
      <c r="AR67" s="671">
        <v>0.54640434000000226</v>
      </c>
      <c r="AS67" s="671">
        <v>0.49636224999999712</v>
      </c>
      <c r="AT67" s="671">
        <v>0.46379312000000539</v>
      </c>
      <c r="AU67" s="671">
        <v>0.46432299999999316</v>
      </c>
      <c r="AV67" s="671">
        <v>0.45135539000000335</v>
      </c>
      <c r="AW67" s="671">
        <v>0.43627099000000413</v>
      </c>
      <c r="AX67" s="671">
        <v>0.43986660999999572</v>
      </c>
      <c r="AY67" s="671">
        <v>0.45180075999999758</v>
      </c>
      <c r="AZ67" s="671">
        <v>0.46897824000000554</v>
      </c>
      <c r="BA67" s="671">
        <v>0.4851596700000016</v>
      </c>
      <c r="BB67" s="671">
        <v>0.48467875000000049</v>
      </c>
      <c r="BC67" s="671">
        <v>0.47687892000000431</v>
      </c>
      <c r="BD67" s="671">
        <v>0.4857934399999948</v>
      </c>
      <c r="BE67" s="671">
        <v>0.49263732000000005</v>
      </c>
      <c r="BF67" s="671">
        <v>0.50159499999999468</v>
      </c>
      <c r="BG67" s="671">
        <v>0.51372343999999259</v>
      </c>
      <c r="BH67" s="671">
        <v>0.52798434000001748</v>
      </c>
      <c r="BI67" s="671">
        <v>0.53702838999998903</v>
      </c>
      <c r="BJ67" s="671">
        <v>0.53662792000000081</v>
      </c>
      <c r="BK67" s="671">
        <v>0.54780737999999474</v>
      </c>
      <c r="BL67" s="671">
        <v>0.54531468999999788</v>
      </c>
      <c r="BM67" s="671">
        <v>0.55125275000000329</v>
      </c>
      <c r="BN67" s="671">
        <v>0.57304451000000256</v>
      </c>
      <c r="BO67" s="671">
        <v>0.58855366999999603</v>
      </c>
      <c r="BP67" s="671">
        <v>0.62314611000000752</v>
      </c>
      <c r="BQ67" s="671">
        <v>0.64830288999999652</v>
      </c>
      <c r="BR67" s="671">
        <v>0.67246751999999788</v>
      </c>
      <c r="BS67" s="671">
        <v>0.67972351000000231</v>
      </c>
      <c r="BT67" s="671">
        <v>0.69442989000000921</v>
      </c>
      <c r="BU67" s="671">
        <v>0.71236294999998506</v>
      </c>
      <c r="BV67" s="671">
        <v>0.73140689000000236</v>
      </c>
      <c r="BW67" s="671">
        <v>0.73665895000000603</v>
      </c>
      <c r="BX67" s="671">
        <v>0.75151448000001153</v>
      </c>
      <c r="BY67" s="671">
        <v>0.7685417399999892</v>
      </c>
      <c r="BZ67" s="671">
        <v>0.79522249999999417</v>
      </c>
      <c r="CA67" s="671">
        <v>0.80487492000000316</v>
      </c>
      <c r="CB67" s="671">
        <v>0.81455087999999876</v>
      </c>
      <c r="CC67" s="671">
        <v>0.80497871000000032</v>
      </c>
      <c r="CD67" s="671">
        <v>0.81466644000001054</v>
      </c>
      <c r="CE67" s="671">
        <v>0.81794206999998664</v>
      </c>
      <c r="CF67" s="671">
        <v>0.81692920000000413</v>
      </c>
      <c r="CG67" s="671">
        <v>0.79979182000001003</v>
      </c>
      <c r="CH67" s="671">
        <v>0.78798218999999392</v>
      </c>
      <c r="CI67" s="672">
        <v>0.77721375999999509</v>
      </c>
      <c r="CJ67" s="1619"/>
      <c r="CK67" s="1620"/>
    </row>
    <row r="68" spans="1:89" s="1621" customFormat="1" x14ac:dyDescent="0.35">
      <c r="A68" s="1618"/>
      <c r="B68" s="673" t="s">
        <v>409</v>
      </c>
      <c r="C68" s="674" t="s">
        <v>410</v>
      </c>
      <c r="D68" s="675" t="s">
        <v>411</v>
      </c>
      <c r="E68" s="676" t="s">
        <v>398</v>
      </c>
      <c r="F68" s="677">
        <v>2</v>
      </c>
      <c r="G68" s="670"/>
      <c r="H68" s="670"/>
      <c r="I68" s="670"/>
      <c r="J68" s="670">
        <v>0.74088723700000259</v>
      </c>
      <c r="K68" s="670">
        <v>0.72619466300000024</v>
      </c>
      <c r="L68" s="670">
        <v>0.71261242099999578</v>
      </c>
      <c r="M68" s="671">
        <v>0.70161788599999753</v>
      </c>
      <c r="N68" s="671">
        <v>0.68948285999999648</v>
      </c>
      <c r="O68" s="671">
        <v>0.67521956000001992</v>
      </c>
      <c r="P68" s="671">
        <v>0.66614769999999623</v>
      </c>
      <c r="Q68" s="671">
        <v>0.65800903999997828</v>
      </c>
      <c r="R68" s="671">
        <v>0.65079037000001705</v>
      </c>
      <c r="S68" s="671">
        <v>0.64448598000001311</v>
      </c>
      <c r="T68" s="671">
        <v>0.63909898000000354</v>
      </c>
      <c r="U68" s="671">
        <v>0.63180512999997873</v>
      </c>
      <c r="V68" s="671">
        <v>0.62240987000000203</v>
      </c>
      <c r="W68" s="671">
        <v>0.61076180999999963</v>
      </c>
      <c r="X68" s="671">
        <v>0.59676887000000534</v>
      </c>
      <c r="Y68" s="671">
        <v>0.58041142999996964</v>
      </c>
      <c r="Z68" s="671">
        <v>0.56468044000004625</v>
      </c>
      <c r="AA68" s="671">
        <v>0.54954281999997079</v>
      </c>
      <c r="AB68" s="671">
        <v>0.5349675099999871</v>
      </c>
      <c r="AC68" s="671">
        <v>0.52092562000002118</v>
      </c>
      <c r="AD68" s="671">
        <v>0.5073903799999897</v>
      </c>
      <c r="AE68" s="671">
        <v>0.49433674000002981</v>
      </c>
      <c r="AF68" s="671">
        <v>0.48174135000000007</v>
      </c>
      <c r="AG68" s="671">
        <v>0.46958246999999176</v>
      </c>
      <c r="AH68" s="671">
        <v>0.4578394199999849</v>
      </c>
      <c r="AI68" s="671">
        <v>0.44654048999998253</v>
      </c>
      <c r="AJ68" s="671">
        <v>0.43552054000001306</v>
      </c>
      <c r="AK68" s="671">
        <v>0.42477238000000028</v>
      </c>
      <c r="AL68" s="671">
        <v>0.41428958000000904</v>
      </c>
      <c r="AM68" s="671">
        <v>0.40406548999999359</v>
      </c>
      <c r="AN68" s="671">
        <v>0.39409361000000587</v>
      </c>
      <c r="AO68" s="671">
        <v>0.38436789000000715</v>
      </c>
      <c r="AP68" s="671">
        <v>0.37488218999996548</v>
      </c>
      <c r="AQ68" s="671">
        <v>0.3656305500000343</v>
      </c>
      <c r="AR68" s="671">
        <v>0.35660726000001119</v>
      </c>
      <c r="AS68" s="671">
        <v>0.34780674999999661</v>
      </c>
      <c r="AT68" s="671">
        <v>0.3392231799999621</v>
      </c>
      <c r="AU68" s="671">
        <v>0.33085170000002506</v>
      </c>
      <c r="AV68" s="671">
        <v>0.3226866100000052</v>
      </c>
      <c r="AW68" s="671">
        <v>0.3147232099999755</v>
      </c>
      <c r="AX68" s="671">
        <v>0.30695618999999397</v>
      </c>
      <c r="AY68" s="671">
        <v>0.29938084000002618</v>
      </c>
      <c r="AZ68" s="671">
        <v>0.29199256000001839</v>
      </c>
      <c r="BA68" s="671">
        <v>0.28478662999995663</v>
      </c>
      <c r="BB68" s="671">
        <v>0.27775835000002758</v>
      </c>
      <c r="BC68" s="671">
        <v>0.27090367999998932</v>
      </c>
      <c r="BD68" s="671">
        <v>0.26421815999999865</v>
      </c>
      <c r="BE68" s="671">
        <v>0.25769747999999026</v>
      </c>
      <c r="BF68" s="671">
        <v>0.25133800000001827</v>
      </c>
      <c r="BG68" s="671">
        <v>0.24513516000000379</v>
      </c>
      <c r="BH68" s="671">
        <v>0.23908555999997816</v>
      </c>
      <c r="BI68" s="671">
        <v>0.23318531000003873</v>
      </c>
      <c r="BJ68" s="671">
        <v>0.22743047999998112</v>
      </c>
      <c r="BK68" s="671">
        <v>0.22181792000000655</v>
      </c>
      <c r="BL68" s="671">
        <v>0.21634360999999558</v>
      </c>
      <c r="BM68" s="671">
        <v>0.21100464999997826</v>
      </c>
      <c r="BN68" s="671">
        <v>0.20579719000001262</v>
      </c>
      <c r="BO68" s="671">
        <v>0.20071853000003159</v>
      </c>
      <c r="BP68" s="671">
        <v>0.19576488999997821</v>
      </c>
      <c r="BQ68" s="671">
        <v>0.19093380999998999</v>
      </c>
      <c r="BR68" s="671">
        <v>0.18622168000001693</v>
      </c>
      <c r="BS68" s="671">
        <v>0.18162608999998042</v>
      </c>
      <c r="BT68" s="671">
        <v>0.17714370999999574</v>
      </c>
      <c r="BU68" s="671">
        <v>0.17277205000003448</v>
      </c>
      <c r="BV68" s="671">
        <v>0.16850820999998462</v>
      </c>
      <c r="BW68" s="671">
        <v>0.16434974999999952</v>
      </c>
      <c r="BX68" s="671">
        <v>0.16029371999998432</v>
      </c>
      <c r="BY68" s="671">
        <v>0.15633796000000189</v>
      </c>
      <c r="BZ68" s="671">
        <v>0.15247960000002081</v>
      </c>
      <c r="CA68" s="671">
        <v>0.1487166799999784</v>
      </c>
      <c r="CB68" s="671">
        <v>0.14504662000000224</v>
      </c>
      <c r="CC68" s="671">
        <v>0.14146699000002627</v>
      </c>
      <c r="CD68" s="671">
        <v>0.13797575999997491</v>
      </c>
      <c r="CE68" s="671">
        <v>0.13457063000001313</v>
      </c>
      <c r="CF68" s="671">
        <v>0.1312496999999837</v>
      </c>
      <c r="CG68" s="671">
        <v>0.12801057999998022</v>
      </c>
      <c r="CH68" s="671">
        <v>0.12485141000003352</v>
      </c>
      <c r="CI68" s="672">
        <v>0.12177034000001186</v>
      </c>
      <c r="CJ68" s="1619"/>
      <c r="CK68" s="1620"/>
    </row>
    <row r="69" spans="1:89" s="1621" customFormat="1" x14ac:dyDescent="0.35">
      <c r="A69" s="1618"/>
      <c r="B69" s="673" t="s">
        <v>412</v>
      </c>
      <c r="C69" s="674" t="s">
        <v>413</v>
      </c>
      <c r="D69" s="675" t="s">
        <v>414</v>
      </c>
      <c r="E69" s="676" t="s">
        <v>398</v>
      </c>
      <c r="F69" s="677">
        <v>2</v>
      </c>
      <c r="G69" s="670">
        <v>0</v>
      </c>
      <c r="H69" s="670">
        <v>0</v>
      </c>
      <c r="I69" s="670">
        <v>0</v>
      </c>
      <c r="J69" s="670">
        <v>0</v>
      </c>
      <c r="K69" s="670">
        <v>0</v>
      </c>
      <c r="L69" s="670">
        <v>0</v>
      </c>
      <c r="M69" s="670">
        <v>0</v>
      </c>
      <c r="N69" s="670">
        <v>0</v>
      </c>
      <c r="O69" s="670">
        <v>0</v>
      </c>
      <c r="P69" s="670">
        <v>0</v>
      </c>
      <c r="Q69" s="670">
        <v>0</v>
      </c>
      <c r="R69" s="670">
        <v>0</v>
      </c>
      <c r="S69" s="670">
        <v>0</v>
      </c>
      <c r="T69" s="670">
        <v>0</v>
      </c>
      <c r="U69" s="670">
        <v>0</v>
      </c>
      <c r="V69" s="670">
        <v>0</v>
      </c>
      <c r="W69" s="670">
        <v>0</v>
      </c>
      <c r="X69" s="670">
        <v>0</v>
      </c>
      <c r="Y69" s="670">
        <v>0</v>
      </c>
      <c r="Z69" s="670">
        <v>0</v>
      </c>
      <c r="AA69" s="670">
        <v>0</v>
      </c>
      <c r="AB69" s="670">
        <v>0</v>
      </c>
      <c r="AC69" s="670">
        <v>0</v>
      </c>
      <c r="AD69" s="670">
        <v>0</v>
      </c>
      <c r="AE69" s="670">
        <v>0</v>
      </c>
      <c r="AF69" s="670">
        <v>0</v>
      </c>
      <c r="AG69" s="670">
        <v>0</v>
      </c>
      <c r="AH69" s="670">
        <v>0</v>
      </c>
      <c r="AI69" s="670">
        <v>0</v>
      </c>
      <c r="AJ69" s="670">
        <v>0</v>
      </c>
      <c r="AK69" s="670">
        <v>0</v>
      </c>
      <c r="AL69" s="670">
        <v>0</v>
      </c>
      <c r="AM69" s="670">
        <v>0</v>
      </c>
      <c r="AN69" s="670">
        <v>0</v>
      </c>
      <c r="AO69" s="670">
        <v>0</v>
      </c>
      <c r="AP69" s="670">
        <v>0</v>
      </c>
      <c r="AQ69" s="670">
        <v>0</v>
      </c>
      <c r="AR69" s="670">
        <v>0</v>
      </c>
      <c r="AS69" s="670">
        <v>0</v>
      </c>
      <c r="AT69" s="670">
        <v>0</v>
      </c>
      <c r="AU69" s="670">
        <v>0</v>
      </c>
      <c r="AV69" s="670">
        <v>0</v>
      </c>
      <c r="AW69" s="670">
        <v>0</v>
      </c>
      <c r="AX69" s="670">
        <v>0</v>
      </c>
      <c r="AY69" s="670">
        <v>0</v>
      </c>
      <c r="AZ69" s="670">
        <v>0</v>
      </c>
      <c r="BA69" s="670">
        <v>0</v>
      </c>
      <c r="BB69" s="670">
        <v>0</v>
      </c>
      <c r="BC69" s="670">
        <v>0</v>
      </c>
      <c r="BD69" s="670">
        <v>0</v>
      </c>
      <c r="BE69" s="670">
        <v>0</v>
      </c>
      <c r="BF69" s="670">
        <v>0</v>
      </c>
      <c r="BG69" s="670">
        <v>0</v>
      </c>
      <c r="BH69" s="670">
        <v>0</v>
      </c>
      <c r="BI69" s="670">
        <v>0</v>
      </c>
      <c r="BJ69" s="670">
        <v>0</v>
      </c>
      <c r="BK69" s="670">
        <v>0</v>
      </c>
      <c r="BL69" s="670">
        <v>0</v>
      </c>
      <c r="BM69" s="670">
        <v>0</v>
      </c>
      <c r="BN69" s="670">
        <v>0</v>
      </c>
      <c r="BO69" s="670">
        <v>0</v>
      </c>
      <c r="BP69" s="670">
        <v>0</v>
      </c>
      <c r="BQ69" s="670">
        <v>0</v>
      </c>
      <c r="BR69" s="670">
        <v>0</v>
      </c>
      <c r="BS69" s="670">
        <v>0</v>
      </c>
      <c r="BT69" s="670">
        <v>0</v>
      </c>
      <c r="BU69" s="670">
        <v>0</v>
      </c>
      <c r="BV69" s="670">
        <v>0</v>
      </c>
      <c r="BW69" s="670">
        <v>0</v>
      </c>
      <c r="BX69" s="670">
        <v>0</v>
      </c>
      <c r="BY69" s="670">
        <v>0</v>
      </c>
      <c r="BZ69" s="670">
        <v>0</v>
      </c>
      <c r="CA69" s="670">
        <v>0</v>
      </c>
      <c r="CB69" s="670">
        <v>0</v>
      </c>
      <c r="CC69" s="670">
        <v>0</v>
      </c>
      <c r="CD69" s="670">
        <v>0</v>
      </c>
      <c r="CE69" s="670">
        <v>0</v>
      </c>
      <c r="CF69" s="670">
        <v>0</v>
      </c>
      <c r="CG69" s="670">
        <v>0</v>
      </c>
      <c r="CH69" s="670">
        <v>0</v>
      </c>
      <c r="CI69" s="670">
        <v>0</v>
      </c>
      <c r="CJ69" s="1619"/>
      <c r="CK69" s="1620"/>
    </row>
    <row r="70" spans="1:89" s="1621" customFormat="1" ht="28" x14ac:dyDescent="0.35">
      <c r="A70" s="1618"/>
      <c r="B70" s="673" t="s">
        <v>415</v>
      </c>
      <c r="C70" s="674" t="s">
        <v>416</v>
      </c>
      <c r="D70" s="675" t="s">
        <v>417</v>
      </c>
      <c r="E70" s="676" t="s">
        <v>398</v>
      </c>
      <c r="F70" s="677">
        <v>2</v>
      </c>
      <c r="G70" s="670">
        <v>0</v>
      </c>
      <c r="H70" s="670">
        <v>0</v>
      </c>
      <c r="I70" s="670">
        <v>0</v>
      </c>
      <c r="J70" s="670">
        <v>0</v>
      </c>
      <c r="K70" s="670">
        <v>0</v>
      </c>
      <c r="L70" s="670">
        <v>0</v>
      </c>
      <c r="M70" s="670">
        <v>0</v>
      </c>
      <c r="N70" s="670">
        <v>0</v>
      </c>
      <c r="O70" s="670">
        <v>0</v>
      </c>
      <c r="P70" s="670">
        <v>0</v>
      </c>
      <c r="Q70" s="670">
        <v>0</v>
      </c>
      <c r="R70" s="670">
        <v>0</v>
      </c>
      <c r="S70" s="670">
        <v>0</v>
      </c>
      <c r="T70" s="670">
        <v>0</v>
      </c>
      <c r="U70" s="670">
        <v>0</v>
      </c>
      <c r="V70" s="670">
        <v>0</v>
      </c>
      <c r="W70" s="670">
        <v>0</v>
      </c>
      <c r="X70" s="670">
        <v>0</v>
      </c>
      <c r="Y70" s="670">
        <v>0</v>
      </c>
      <c r="Z70" s="670">
        <v>0</v>
      </c>
      <c r="AA70" s="670">
        <v>0</v>
      </c>
      <c r="AB70" s="670">
        <v>0</v>
      </c>
      <c r="AC70" s="670">
        <v>0</v>
      </c>
      <c r="AD70" s="670">
        <v>0</v>
      </c>
      <c r="AE70" s="670">
        <v>0</v>
      </c>
      <c r="AF70" s="670">
        <v>0</v>
      </c>
      <c r="AG70" s="670">
        <v>0</v>
      </c>
      <c r="AH70" s="670">
        <v>0</v>
      </c>
      <c r="AI70" s="670">
        <v>0</v>
      </c>
      <c r="AJ70" s="670">
        <v>0</v>
      </c>
      <c r="AK70" s="670">
        <v>0</v>
      </c>
      <c r="AL70" s="670">
        <v>0</v>
      </c>
      <c r="AM70" s="670">
        <v>0</v>
      </c>
      <c r="AN70" s="670">
        <v>0</v>
      </c>
      <c r="AO70" s="670">
        <v>0</v>
      </c>
      <c r="AP70" s="670">
        <v>0</v>
      </c>
      <c r="AQ70" s="670">
        <v>0</v>
      </c>
      <c r="AR70" s="670">
        <v>0</v>
      </c>
      <c r="AS70" s="670">
        <v>0</v>
      </c>
      <c r="AT70" s="670">
        <v>0</v>
      </c>
      <c r="AU70" s="670">
        <v>0</v>
      </c>
      <c r="AV70" s="670">
        <v>0</v>
      </c>
      <c r="AW70" s="670">
        <v>0</v>
      </c>
      <c r="AX70" s="670">
        <v>0</v>
      </c>
      <c r="AY70" s="670">
        <v>0</v>
      </c>
      <c r="AZ70" s="670">
        <v>0</v>
      </c>
      <c r="BA70" s="670">
        <v>0</v>
      </c>
      <c r="BB70" s="670">
        <v>0</v>
      </c>
      <c r="BC70" s="670">
        <v>0</v>
      </c>
      <c r="BD70" s="670">
        <v>0</v>
      </c>
      <c r="BE70" s="670">
        <v>0</v>
      </c>
      <c r="BF70" s="670">
        <v>0</v>
      </c>
      <c r="BG70" s="670">
        <v>0</v>
      </c>
      <c r="BH70" s="670">
        <v>0</v>
      </c>
      <c r="BI70" s="670">
        <v>0</v>
      </c>
      <c r="BJ70" s="670">
        <v>0</v>
      </c>
      <c r="BK70" s="670">
        <v>0</v>
      </c>
      <c r="BL70" s="670">
        <v>0</v>
      </c>
      <c r="BM70" s="670">
        <v>0</v>
      </c>
      <c r="BN70" s="670">
        <v>0</v>
      </c>
      <c r="BO70" s="670">
        <v>0</v>
      </c>
      <c r="BP70" s="670">
        <v>0</v>
      </c>
      <c r="BQ70" s="670">
        <v>0</v>
      </c>
      <c r="BR70" s="670">
        <v>0</v>
      </c>
      <c r="BS70" s="670">
        <v>0</v>
      </c>
      <c r="BT70" s="670">
        <v>0</v>
      </c>
      <c r="BU70" s="670">
        <v>0</v>
      </c>
      <c r="BV70" s="670">
        <v>0</v>
      </c>
      <c r="BW70" s="670">
        <v>0</v>
      </c>
      <c r="BX70" s="670">
        <v>0</v>
      </c>
      <c r="BY70" s="670">
        <v>0</v>
      </c>
      <c r="BZ70" s="670">
        <v>0</v>
      </c>
      <c r="CA70" s="670">
        <v>0</v>
      </c>
      <c r="CB70" s="670">
        <v>0</v>
      </c>
      <c r="CC70" s="670">
        <v>0</v>
      </c>
      <c r="CD70" s="670">
        <v>0</v>
      </c>
      <c r="CE70" s="670">
        <v>0</v>
      </c>
      <c r="CF70" s="670">
        <v>0</v>
      </c>
      <c r="CG70" s="670">
        <v>0</v>
      </c>
      <c r="CH70" s="670">
        <v>0</v>
      </c>
      <c r="CI70" s="670">
        <v>0</v>
      </c>
      <c r="CJ70" s="1619"/>
      <c r="CK70" s="1620"/>
    </row>
    <row r="71" spans="1:89" s="1621" customFormat="1" x14ac:dyDescent="0.35">
      <c r="A71" s="1618"/>
      <c r="B71" s="673" t="s">
        <v>418</v>
      </c>
      <c r="C71" s="674" t="s">
        <v>419</v>
      </c>
      <c r="D71" s="675" t="s">
        <v>420</v>
      </c>
      <c r="E71" s="676" t="s">
        <v>398</v>
      </c>
      <c r="F71" s="677">
        <v>2</v>
      </c>
      <c r="G71" s="670">
        <v>0</v>
      </c>
      <c r="H71" s="670">
        <v>0</v>
      </c>
      <c r="I71" s="670">
        <v>0</v>
      </c>
      <c r="J71" s="670">
        <v>0</v>
      </c>
      <c r="K71" s="670">
        <v>0</v>
      </c>
      <c r="L71" s="670">
        <v>0</v>
      </c>
      <c r="M71" s="670">
        <v>0</v>
      </c>
      <c r="N71" s="670">
        <v>0</v>
      </c>
      <c r="O71" s="670">
        <v>0</v>
      </c>
      <c r="P71" s="670">
        <v>0</v>
      </c>
      <c r="Q71" s="670">
        <v>0</v>
      </c>
      <c r="R71" s="670">
        <v>0</v>
      </c>
      <c r="S71" s="670">
        <v>0</v>
      </c>
      <c r="T71" s="670">
        <v>0</v>
      </c>
      <c r="U71" s="670">
        <v>0</v>
      </c>
      <c r="V71" s="670">
        <v>0</v>
      </c>
      <c r="W71" s="670">
        <v>0</v>
      </c>
      <c r="X71" s="670">
        <v>0</v>
      </c>
      <c r="Y71" s="670">
        <v>0</v>
      </c>
      <c r="Z71" s="670">
        <v>0</v>
      </c>
      <c r="AA71" s="670">
        <v>0</v>
      </c>
      <c r="AB71" s="670">
        <v>0</v>
      </c>
      <c r="AC71" s="670">
        <v>0</v>
      </c>
      <c r="AD71" s="670">
        <v>0</v>
      </c>
      <c r="AE71" s="670">
        <v>0</v>
      </c>
      <c r="AF71" s="670">
        <v>0</v>
      </c>
      <c r="AG71" s="670">
        <v>0</v>
      </c>
      <c r="AH71" s="670">
        <v>0</v>
      </c>
      <c r="AI71" s="670">
        <v>0</v>
      </c>
      <c r="AJ71" s="670">
        <v>0</v>
      </c>
      <c r="AK71" s="670">
        <v>0</v>
      </c>
      <c r="AL71" s="670">
        <v>0</v>
      </c>
      <c r="AM71" s="670">
        <v>0</v>
      </c>
      <c r="AN71" s="670">
        <v>0</v>
      </c>
      <c r="AO71" s="670">
        <v>0</v>
      </c>
      <c r="AP71" s="670">
        <v>0</v>
      </c>
      <c r="AQ71" s="670">
        <v>0</v>
      </c>
      <c r="AR71" s="670">
        <v>0</v>
      </c>
      <c r="AS71" s="670">
        <v>0</v>
      </c>
      <c r="AT71" s="670">
        <v>0</v>
      </c>
      <c r="AU71" s="670">
        <v>0</v>
      </c>
      <c r="AV71" s="670">
        <v>0</v>
      </c>
      <c r="AW71" s="670">
        <v>0</v>
      </c>
      <c r="AX71" s="670">
        <v>0</v>
      </c>
      <c r="AY71" s="670">
        <v>0</v>
      </c>
      <c r="AZ71" s="670">
        <v>0</v>
      </c>
      <c r="BA71" s="670">
        <v>0</v>
      </c>
      <c r="BB71" s="670">
        <v>0</v>
      </c>
      <c r="BC71" s="670">
        <v>0</v>
      </c>
      <c r="BD71" s="670">
        <v>0</v>
      </c>
      <c r="BE71" s="670">
        <v>0</v>
      </c>
      <c r="BF71" s="670">
        <v>0</v>
      </c>
      <c r="BG71" s="670">
        <v>0</v>
      </c>
      <c r="BH71" s="670">
        <v>0</v>
      </c>
      <c r="BI71" s="670">
        <v>0</v>
      </c>
      <c r="BJ71" s="670">
        <v>0</v>
      </c>
      <c r="BK71" s="670">
        <v>0</v>
      </c>
      <c r="BL71" s="670">
        <v>0</v>
      </c>
      <c r="BM71" s="670">
        <v>0</v>
      </c>
      <c r="BN71" s="670">
        <v>0</v>
      </c>
      <c r="BO71" s="670">
        <v>0</v>
      </c>
      <c r="BP71" s="670">
        <v>0</v>
      </c>
      <c r="BQ71" s="670">
        <v>0</v>
      </c>
      <c r="BR71" s="670">
        <v>0</v>
      </c>
      <c r="BS71" s="670">
        <v>0</v>
      </c>
      <c r="BT71" s="670">
        <v>0</v>
      </c>
      <c r="BU71" s="670">
        <v>0</v>
      </c>
      <c r="BV71" s="670">
        <v>0</v>
      </c>
      <c r="BW71" s="670">
        <v>0</v>
      </c>
      <c r="BX71" s="670">
        <v>0</v>
      </c>
      <c r="BY71" s="670">
        <v>0</v>
      </c>
      <c r="BZ71" s="670">
        <v>0</v>
      </c>
      <c r="CA71" s="670">
        <v>0</v>
      </c>
      <c r="CB71" s="670">
        <v>0</v>
      </c>
      <c r="CC71" s="670">
        <v>0</v>
      </c>
      <c r="CD71" s="670">
        <v>0</v>
      </c>
      <c r="CE71" s="670">
        <v>0</v>
      </c>
      <c r="CF71" s="670">
        <v>0</v>
      </c>
      <c r="CG71" s="670">
        <v>0</v>
      </c>
      <c r="CH71" s="670">
        <v>0</v>
      </c>
      <c r="CI71" s="670">
        <v>0</v>
      </c>
      <c r="CJ71" s="1619"/>
      <c r="CK71" s="1620"/>
    </row>
    <row r="72" spans="1:89" s="1621" customFormat="1" ht="28" x14ac:dyDescent="0.35">
      <c r="A72" s="1618"/>
      <c r="B72" s="673" t="s">
        <v>421</v>
      </c>
      <c r="C72" s="674" t="s">
        <v>422</v>
      </c>
      <c r="D72" s="675" t="s">
        <v>423</v>
      </c>
      <c r="E72" s="676" t="s">
        <v>398</v>
      </c>
      <c r="F72" s="677">
        <v>2</v>
      </c>
      <c r="G72" s="670">
        <v>0</v>
      </c>
      <c r="H72" s="670">
        <v>0</v>
      </c>
      <c r="I72" s="670">
        <v>0</v>
      </c>
      <c r="J72" s="670">
        <v>0</v>
      </c>
      <c r="K72" s="670">
        <v>0</v>
      </c>
      <c r="L72" s="670">
        <v>0</v>
      </c>
      <c r="M72" s="671">
        <v>0</v>
      </c>
      <c r="N72" s="671">
        <v>0</v>
      </c>
      <c r="O72" s="671">
        <v>0</v>
      </c>
      <c r="P72" s="671">
        <v>0</v>
      </c>
      <c r="Q72" s="671">
        <v>0</v>
      </c>
      <c r="R72" s="671">
        <v>0</v>
      </c>
      <c r="S72" s="671">
        <v>0</v>
      </c>
      <c r="T72" s="671">
        <v>0</v>
      </c>
      <c r="U72" s="671">
        <v>0</v>
      </c>
      <c r="V72" s="671">
        <v>0</v>
      </c>
      <c r="W72" s="671">
        <v>0</v>
      </c>
      <c r="X72" s="671">
        <v>0</v>
      </c>
      <c r="Y72" s="671">
        <v>0</v>
      </c>
      <c r="Z72" s="671">
        <v>0</v>
      </c>
      <c r="AA72" s="671">
        <v>0</v>
      </c>
      <c r="AB72" s="671">
        <v>0</v>
      </c>
      <c r="AC72" s="671">
        <v>0</v>
      </c>
      <c r="AD72" s="671">
        <v>0</v>
      </c>
      <c r="AE72" s="671">
        <v>0</v>
      </c>
      <c r="AF72" s="671">
        <v>0</v>
      </c>
      <c r="AG72" s="671">
        <v>0</v>
      </c>
      <c r="AH72" s="671">
        <v>0</v>
      </c>
      <c r="AI72" s="671">
        <v>0</v>
      </c>
      <c r="AJ72" s="671">
        <v>0</v>
      </c>
      <c r="AK72" s="671">
        <v>0</v>
      </c>
      <c r="AL72" s="671">
        <v>0</v>
      </c>
      <c r="AM72" s="671">
        <v>0</v>
      </c>
      <c r="AN72" s="671">
        <v>0</v>
      </c>
      <c r="AO72" s="671">
        <v>0</v>
      </c>
      <c r="AP72" s="671">
        <v>0</v>
      </c>
      <c r="AQ72" s="671">
        <v>0</v>
      </c>
      <c r="AR72" s="671">
        <v>0</v>
      </c>
      <c r="AS72" s="671">
        <v>0</v>
      </c>
      <c r="AT72" s="671">
        <v>0</v>
      </c>
      <c r="AU72" s="671">
        <v>0</v>
      </c>
      <c r="AV72" s="671">
        <v>0</v>
      </c>
      <c r="AW72" s="671">
        <v>0</v>
      </c>
      <c r="AX72" s="671">
        <v>0</v>
      </c>
      <c r="AY72" s="671">
        <v>0</v>
      </c>
      <c r="AZ72" s="671">
        <v>0</v>
      </c>
      <c r="BA72" s="671">
        <v>0</v>
      </c>
      <c r="BB72" s="671">
        <v>0</v>
      </c>
      <c r="BC72" s="671">
        <v>0</v>
      </c>
      <c r="BD72" s="671">
        <v>0</v>
      </c>
      <c r="BE72" s="671">
        <v>0</v>
      </c>
      <c r="BF72" s="671">
        <v>0</v>
      </c>
      <c r="BG72" s="671">
        <v>0</v>
      </c>
      <c r="BH72" s="671">
        <v>0</v>
      </c>
      <c r="BI72" s="671">
        <v>0</v>
      </c>
      <c r="BJ72" s="671">
        <v>0</v>
      </c>
      <c r="BK72" s="671">
        <v>0</v>
      </c>
      <c r="BL72" s="671">
        <v>0</v>
      </c>
      <c r="BM72" s="671">
        <v>0</v>
      </c>
      <c r="BN72" s="671">
        <v>0</v>
      </c>
      <c r="BO72" s="671">
        <v>0</v>
      </c>
      <c r="BP72" s="671">
        <v>0</v>
      </c>
      <c r="BQ72" s="671">
        <v>0</v>
      </c>
      <c r="BR72" s="671">
        <v>0</v>
      </c>
      <c r="BS72" s="671">
        <v>0</v>
      </c>
      <c r="BT72" s="671">
        <v>0</v>
      </c>
      <c r="BU72" s="671">
        <v>0</v>
      </c>
      <c r="BV72" s="671">
        <v>0</v>
      </c>
      <c r="BW72" s="671">
        <v>0</v>
      </c>
      <c r="BX72" s="671">
        <v>0</v>
      </c>
      <c r="BY72" s="671">
        <v>0</v>
      </c>
      <c r="BZ72" s="671">
        <v>0</v>
      </c>
      <c r="CA72" s="671">
        <v>0</v>
      </c>
      <c r="CB72" s="671">
        <v>0</v>
      </c>
      <c r="CC72" s="671">
        <v>0</v>
      </c>
      <c r="CD72" s="671">
        <v>0</v>
      </c>
      <c r="CE72" s="671">
        <v>0</v>
      </c>
      <c r="CF72" s="671">
        <v>0</v>
      </c>
      <c r="CG72" s="671">
        <v>0</v>
      </c>
      <c r="CH72" s="671">
        <v>0</v>
      </c>
      <c r="CI72" s="672">
        <v>0</v>
      </c>
      <c r="CJ72" s="1619"/>
      <c r="CK72" s="1620"/>
    </row>
    <row r="73" spans="1:89" s="1621" customFormat="1" x14ac:dyDescent="0.35">
      <c r="A73" s="1618"/>
      <c r="B73" s="673" t="s">
        <v>424</v>
      </c>
      <c r="C73" s="674" t="s">
        <v>425</v>
      </c>
      <c r="D73" s="669" t="s">
        <v>82</v>
      </c>
      <c r="E73" s="646" t="s">
        <v>398</v>
      </c>
      <c r="F73" s="647">
        <v>2</v>
      </c>
      <c r="G73" s="670">
        <v>2.1680000000000001</v>
      </c>
      <c r="H73" s="670">
        <v>2.1680000000000001</v>
      </c>
      <c r="I73" s="670">
        <v>2.1680000000000001</v>
      </c>
      <c r="J73" s="670">
        <v>2.1680000000000001</v>
      </c>
      <c r="K73" s="670">
        <v>2.1680000000000001</v>
      </c>
      <c r="L73" s="670">
        <v>2.1680000000000001</v>
      </c>
      <c r="M73" s="671">
        <v>2.1680000000000001</v>
      </c>
      <c r="N73" s="671">
        <v>2.1680000000000001</v>
      </c>
      <c r="O73" s="671">
        <v>2.1680000000000001</v>
      </c>
      <c r="P73" s="671">
        <v>2.1680000000000001</v>
      </c>
      <c r="Q73" s="671">
        <v>2.1680000000000001</v>
      </c>
      <c r="R73" s="671">
        <v>2.1680000000000001</v>
      </c>
      <c r="S73" s="671">
        <v>2.1680000000000001</v>
      </c>
      <c r="T73" s="671">
        <v>2.1680000000000001</v>
      </c>
      <c r="U73" s="671">
        <v>2.1680000000000001</v>
      </c>
      <c r="V73" s="671">
        <v>2.1680000000000001</v>
      </c>
      <c r="W73" s="671">
        <v>2.1680000000000001</v>
      </c>
      <c r="X73" s="671">
        <v>2.1680000000000001</v>
      </c>
      <c r="Y73" s="671">
        <v>2.1680000000000001</v>
      </c>
      <c r="Z73" s="671">
        <v>2.1680000000000001</v>
      </c>
      <c r="AA73" s="671">
        <v>2.1680000000000001</v>
      </c>
      <c r="AB73" s="671">
        <v>2.1680000000000001</v>
      </c>
      <c r="AC73" s="671">
        <v>2.1680000000000001</v>
      </c>
      <c r="AD73" s="671">
        <v>2.1680000000000001</v>
      </c>
      <c r="AE73" s="671">
        <v>2.1680000000000001</v>
      </c>
      <c r="AF73" s="671">
        <v>2.1680000000000001</v>
      </c>
      <c r="AG73" s="671">
        <v>2.1680000000000001</v>
      </c>
      <c r="AH73" s="671">
        <v>2.1680000000000001</v>
      </c>
      <c r="AI73" s="671">
        <v>2.1680000000000001</v>
      </c>
      <c r="AJ73" s="671">
        <v>2.1680000000000001</v>
      </c>
      <c r="AK73" s="671">
        <v>2.1680000000000001</v>
      </c>
      <c r="AL73" s="671">
        <v>2.1680000000000001</v>
      </c>
      <c r="AM73" s="671">
        <v>2.1680000000000001</v>
      </c>
      <c r="AN73" s="671">
        <v>2.1680000000000001</v>
      </c>
      <c r="AO73" s="671">
        <v>2.1680000000000001</v>
      </c>
      <c r="AP73" s="671">
        <v>2.1680000000000001</v>
      </c>
      <c r="AQ73" s="671">
        <v>2.1680000000000001</v>
      </c>
      <c r="AR73" s="671">
        <v>2.1680000000000001</v>
      </c>
      <c r="AS73" s="671">
        <v>2.1680000000000001</v>
      </c>
      <c r="AT73" s="671">
        <v>2.1680000000000001</v>
      </c>
      <c r="AU73" s="671">
        <v>2.1680000000000001</v>
      </c>
      <c r="AV73" s="671">
        <v>2.1680000000000001</v>
      </c>
      <c r="AW73" s="671">
        <v>2.1680000000000001</v>
      </c>
      <c r="AX73" s="671">
        <v>2.1680000000000001</v>
      </c>
      <c r="AY73" s="671">
        <v>2.1680000000000001</v>
      </c>
      <c r="AZ73" s="671">
        <v>2.1680000000000001</v>
      </c>
      <c r="BA73" s="671">
        <v>2.1680000000000001</v>
      </c>
      <c r="BB73" s="671">
        <v>2.1680000000000001</v>
      </c>
      <c r="BC73" s="671">
        <v>2.1680000000000001</v>
      </c>
      <c r="BD73" s="671">
        <v>2.1680000000000001</v>
      </c>
      <c r="BE73" s="671">
        <v>2.1680000000000001</v>
      </c>
      <c r="BF73" s="671">
        <v>2.1680000000000001</v>
      </c>
      <c r="BG73" s="671">
        <v>2.1680000000000001</v>
      </c>
      <c r="BH73" s="671">
        <v>2.1680000000000001</v>
      </c>
      <c r="BI73" s="671">
        <v>2.1680000000000001</v>
      </c>
      <c r="BJ73" s="671">
        <v>2.1680000000000001</v>
      </c>
      <c r="BK73" s="671">
        <v>2.1680000000000001</v>
      </c>
      <c r="BL73" s="671">
        <v>2.1680000000000001</v>
      </c>
      <c r="BM73" s="671">
        <v>2.1680000000000001</v>
      </c>
      <c r="BN73" s="671">
        <v>2.1680000000000001</v>
      </c>
      <c r="BO73" s="671">
        <v>2.1680000000000001</v>
      </c>
      <c r="BP73" s="671">
        <v>2.1680000000000001</v>
      </c>
      <c r="BQ73" s="671">
        <v>2.1680000000000001</v>
      </c>
      <c r="BR73" s="671">
        <v>2.1680000000000001</v>
      </c>
      <c r="BS73" s="671">
        <v>2.1680000000000001</v>
      </c>
      <c r="BT73" s="671">
        <v>2.1680000000000001</v>
      </c>
      <c r="BU73" s="671">
        <v>2.1680000000000001</v>
      </c>
      <c r="BV73" s="671">
        <v>2.1680000000000001</v>
      </c>
      <c r="BW73" s="671">
        <v>2.1680000000000001</v>
      </c>
      <c r="BX73" s="671">
        <v>2.1680000000000001</v>
      </c>
      <c r="BY73" s="671">
        <v>2.1680000000000001</v>
      </c>
      <c r="BZ73" s="671">
        <v>2.1680000000000001</v>
      </c>
      <c r="CA73" s="671">
        <v>2.1680000000000001</v>
      </c>
      <c r="CB73" s="671">
        <v>2.1680000000000001</v>
      </c>
      <c r="CC73" s="671">
        <v>2.1680000000000001</v>
      </c>
      <c r="CD73" s="671">
        <v>2.1680000000000001</v>
      </c>
      <c r="CE73" s="671">
        <v>2.1680000000000001</v>
      </c>
      <c r="CF73" s="671">
        <v>2.1680000000000001</v>
      </c>
      <c r="CG73" s="671">
        <v>2.1680000000000001</v>
      </c>
      <c r="CH73" s="671">
        <v>2.1680000000000001</v>
      </c>
      <c r="CI73" s="671">
        <v>2.1680000000000001</v>
      </c>
      <c r="CJ73" s="1619"/>
      <c r="CK73" s="1620"/>
    </row>
    <row r="74" spans="1:89" s="1621" customFormat="1" ht="28" x14ac:dyDescent="0.35">
      <c r="A74" s="1618"/>
      <c r="B74" s="673" t="s">
        <v>426</v>
      </c>
      <c r="C74" s="674" t="s">
        <v>427</v>
      </c>
      <c r="D74" s="669" t="s">
        <v>82</v>
      </c>
      <c r="E74" s="646" t="s">
        <v>398</v>
      </c>
      <c r="F74" s="647">
        <v>2</v>
      </c>
      <c r="G74" s="670">
        <v>34.685000000000002</v>
      </c>
      <c r="H74" s="670">
        <v>33.991300000000003</v>
      </c>
      <c r="I74" s="670">
        <v>33.831166670000002</v>
      </c>
      <c r="J74" s="670">
        <v>33.090279410000001</v>
      </c>
      <c r="K74" s="670">
        <v>32.364084810000001</v>
      </c>
      <c r="L74" s="670">
        <v>31.651472330000001</v>
      </c>
      <c r="M74" s="671">
        <v>30.949854420000001</v>
      </c>
      <c r="N74" s="671">
        <v>30.26037165</v>
      </c>
      <c r="O74" s="671">
        <v>29.585151999999997</v>
      </c>
      <c r="P74" s="671">
        <v>28.919004359999999</v>
      </c>
      <c r="Q74" s="671">
        <v>28.260995269999999</v>
      </c>
      <c r="R74" s="671">
        <v>27.610204890000002</v>
      </c>
      <c r="S74" s="671">
        <v>26.965718939999999</v>
      </c>
      <c r="T74" s="671">
        <v>26.326619969999999</v>
      </c>
      <c r="U74" s="671">
        <v>25.69481481</v>
      </c>
      <c r="V74" s="671">
        <v>25.072405009999997</v>
      </c>
      <c r="W74" s="671">
        <v>24.461643209999998</v>
      </c>
      <c r="X74" s="671">
        <v>23.864874260000001</v>
      </c>
      <c r="Y74" s="671">
        <v>23.284462899999998</v>
      </c>
      <c r="Z74" s="671">
        <v>22.719782439999999</v>
      </c>
      <c r="AA74" s="671">
        <v>22.170239590000001</v>
      </c>
      <c r="AB74" s="671">
        <v>21.635272089999997</v>
      </c>
      <c r="AC74" s="671">
        <v>21.114346480000002</v>
      </c>
      <c r="AD74" s="671">
        <v>20.606956109999999</v>
      </c>
      <c r="AE74" s="671">
        <v>20.112619370000001</v>
      </c>
      <c r="AF74" s="671">
        <v>19.630877999999999</v>
      </c>
      <c r="AG74" s="671">
        <v>19.16129557</v>
      </c>
      <c r="AH74" s="671">
        <v>18.703456129999999</v>
      </c>
      <c r="AI74" s="671">
        <v>18.25691557</v>
      </c>
      <c r="AJ74" s="671">
        <v>17.821395069999998</v>
      </c>
      <c r="AK74" s="671">
        <v>17.396622660000002</v>
      </c>
      <c r="AL74" s="671">
        <v>16.98233308</v>
      </c>
      <c r="AM74" s="671">
        <v>16.57826764</v>
      </c>
      <c r="AN74" s="671">
        <v>16.18417402</v>
      </c>
      <c r="AO74" s="671">
        <v>15.79980613</v>
      </c>
      <c r="AP74" s="671">
        <v>15.424923940000001</v>
      </c>
      <c r="AQ74" s="671">
        <v>15.059293369999999</v>
      </c>
      <c r="AR74" s="671">
        <v>14.702686089999998</v>
      </c>
      <c r="AS74" s="671">
        <v>14.35487942</v>
      </c>
      <c r="AT74" s="671">
        <v>14.015656180000001</v>
      </c>
      <c r="AU74" s="671">
        <v>13.68480454</v>
      </c>
      <c r="AV74" s="671">
        <v>13.36211788</v>
      </c>
      <c r="AW74" s="671">
        <v>13.047394730000001</v>
      </c>
      <c r="AX74" s="671">
        <v>12.740438529999999</v>
      </c>
      <c r="AY74" s="671">
        <v>12.44105763</v>
      </c>
      <c r="AZ74" s="671">
        <v>12.149065060000002</v>
      </c>
      <c r="BA74" s="671">
        <v>11.86427849</v>
      </c>
      <c r="BB74" s="671">
        <v>11.5865201</v>
      </c>
      <c r="BC74" s="671">
        <v>11.31561642</v>
      </c>
      <c r="BD74" s="671">
        <v>11.051398300000001</v>
      </c>
      <c r="BE74" s="671">
        <v>10.793700749999999</v>
      </c>
      <c r="BF74" s="671">
        <v>10.542362839999999</v>
      </c>
      <c r="BG74" s="671">
        <v>10.29722763</v>
      </c>
      <c r="BH74" s="671">
        <v>10.05814204</v>
      </c>
      <c r="BI74" s="671">
        <v>9.8249567849999995</v>
      </c>
      <c r="BJ74" s="671">
        <v>9.5975262390000005</v>
      </c>
      <c r="BK74" s="671">
        <v>9.3757083879999996</v>
      </c>
      <c r="BL74" s="671">
        <v>9.1593647180000008</v>
      </c>
      <c r="BM74" s="671">
        <v>8.9483601329999995</v>
      </c>
      <c r="BN74" s="671">
        <v>8.7425628720000006</v>
      </c>
      <c r="BO74" s="671">
        <v>8.5418444230000006</v>
      </c>
      <c r="BP74" s="671">
        <v>8.3460794499999995</v>
      </c>
      <c r="BQ74" s="671">
        <v>8.1551457050000007</v>
      </c>
      <c r="BR74" s="671">
        <v>7.9689239610000007</v>
      </c>
      <c r="BS74" s="671">
        <v>7.7872979320000004</v>
      </c>
      <c r="BT74" s="671">
        <v>7.6101542000000002</v>
      </c>
      <c r="BU74" s="671">
        <v>7.4373821490000003</v>
      </c>
      <c r="BV74" s="671">
        <v>7.2688738919999993</v>
      </c>
      <c r="BW74" s="671">
        <v>7.1045242029999995</v>
      </c>
      <c r="BX74" s="671">
        <v>6.9442304539999995</v>
      </c>
      <c r="BY74" s="671">
        <v>6.7878925490000004</v>
      </c>
      <c r="BZ74" s="671">
        <v>6.6354128650000002</v>
      </c>
      <c r="CA74" s="671">
        <v>6.4866961830000003</v>
      </c>
      <c r="CB74" s="671">
        <v>6.34164964</v>
      </c>
      <c r="CC74" s="671">
        <v>6.2001826590000002</v>
      </c>
      <c r="CD74" s="671">
        <v>6.0622069029999999</v>
      </c>
      <c r="CE74" s="671">
        <v>5.9276362110000003</v>
      </c>
      <c r="CF74" s="671">
        <v>5.7963865530000005</v>
      </c>
      <c r="CG74" s="671">
        <v>5.6683759680000003</v>
      </c>
      <c r="CH74" s="671">
        <v>5.5435245200000001</v>
      </c>
      <c r="CI74" s="672">
        <v>5.421754247</v>
      </c>
      <c r="CJ74" s="1619"/>
      <c r="CK74" s="1620"/>
    </row>
    <row r="75" spans="1:89" s="1621" customFormat="1" x14ac:dyDescent="0.35">
      <c r="A75" s="1618"/>
      <c r="B75" s="673" t="s">
        <v>428</v>
      </c>
      <c r="C75" s="674" t="s">
        <v>429</v>
      </c>
      <c r="D75" s="669" t="s">
        <v>82</v>
      </c>
      <c r="E75" s="646" t="s">
        <v>398</v>
      </c>
      <c r="F75" s="647">
        <v>2</v>
      </c>
      <c r="G75" s="670">
        <v>0.88</v>
      </c>
      <c r="H75" s="670">
        <v>0.88</v>
      </c>
      <c r="I75" s="670">
        <v>0.88</v>
      </c>
      <c r="J75" s="670">
        <v>0.88</v>
      </c>
      <c r="K75" s="670">
        <v>0.88</v>
      </c>
      <c r="L75" s="670">
        <v>0.88</v>
      </c>
      <c r="M75" s="671">
        <v>0.88</v>
      </c>
      <c r="N75" s="671">
        <v>0.88</v>
      </c>
      <c r="O75" s="671">
        <v>0.88</v>
      </c>
      <c r="P75" s="671">
        <v>0.88</v>
      </c>
      <c r="Q75" s="671">
        <v>0.88</v>
      </c>
      <c r="R75" s="671">
        <v>0.88</v>
      </c>
      <c r="S75" s="671">
        <v>0.88</v>
      </c>
      <c r="T75" s="671">
        <v>0.88</v>
      </c>
      <c r="U75" s="671">
        <v>0.88</v>
      </c>
      <c r="V75" s="671">
        <v>0.88</v>
      </c>
      <c r="W75" s="671">
        <v>0.88</v>
      </c>
      <c r="X75" s="671">
        <v>0.88</v>
      </c>
      <c r="Y75" s="671">
        <v>0.88</v>
      </c>
      <c r="Z75" s="671">
        <v>0.88</v>
      </c>
      <c r="AA75" s="671">
        <v>0.88</v>
      </c>
      <c r="AB75" s="671">
        <v>0.88</v>
      </c>
      <c r="AC75" s="671">
        <v>0.88</v>
      </c>
      <c r="AD75" s="671">
        <v>0.88</v>
      </c>
      <c r="AE75" s="671">
        <v>0.88</v>
      </c>
      <c r="AF75" s="671">
        <v>0.88</v>
      </c>
      <c r="AG75" s="671">
        <v>0.88</v>
      </c>
      <c r="AH75" s="671">
        <v>0.88</v>
      </c>
      <c r="AI75" s="671">
        <v>0.88</v>
      </c>
      <c r="AJ75" s="671">
        <v>0.88</v>
      </c>
      <c r="AK75" s="671">
        <v>0.88</v>
      </c>
      <c r="AL75" s="671">
        <v>0.88</v>
      </c>
      <c r="AM75" s="671">
        <v>0.88</v>
      </c>
      <c r="AN75" s="671">
        <v>0.88</v>
      </c>
      <c r="AO75" s="671">
        <v>0.88</v>
      </c>
      <c r="AP75" s="671">
        <v>0.88</v>
      </c>
      <c r="AQ75" s="671">
        <v>0.88</v>
      </c>
      <c r="AR75" s="671">
        <v>0.88</v>
      </c>
      <c r="AS75" s="671">
        <v>0.88</v>
      </c>
      <c r="AT75" s="671">
        <v>0.88</v>
      </c>
      <c r="AU75" s="671">
        <v>0.88</v>
      </c>
      <c r="AV75" s="671">
        <v>0.88</v>
      </c>
      <c r="AW75" s="671">
        <v>0.88</v>
      </c>
      <c r="AX75" s="671">
        <v>0.88</v>
      </c>
      <c r="AY75" s="671">
        <v>0.88</v>
      </c>
      <c r="AZ75" s="671">
        <v>0.88</v>
      </c>
      <c r="BA75" s="671">
        <v>0.88</v>
      </c>
      <c r="BB75" s="671">
        <v>0.88</v>
      </c>
      <c r="BC75" s="671">
        <v>0.88</v>
      </c>
      <c r="BD75" s="671">
        <v>0.88</v>
      </c>
      <c r="BE75" s="671">
        <v>0.88</v>
      </c>
      <c r="BF75" s="671">
        <v>0.88</v>
      </c>
      <c r="BG75" s="671">
        <v>0.88</v>
      </c>
      <c r="BH75" s="671">
        <v>0.88</v>
      </c>
      <c r="BI75" s="671">
        <v>0.88</v>
      </c>
      <c r="BJ75" s="671">
        <v>0.88</v>
      </c>
      <c r="BK75" s="671">
        <v>0.88</v>
      </c>
      <c r="BL75" s="671">
        <v>0.88</v>
      </c>
      <c r="BM75" s="671">
        <v>0.88</v>
      </c>
      <c r="BN75" s="671">
        <v>0.88</v>
      </c>
      <c r="BO75" s="671">
        <v>0.88</v>
      </c>
      <c r="BP75" s="671">
        <v>0.88</v>
      </c>
      <c r="BQ75" s="671">
        <v>0.88</v>
      </c>
      <c r="BR75" s="671">
        <v>0.88</v>
      </c>
      <c r="BS75" s="671">
        <v>0.88</v>
      </c>
      <c r="BT75" s="671">
        <v>0.88</v>
      </c>
      <c r="BU75" s="671">
        <v>0.88</v>
      </c>
      <c r="BV75" s="671">
        <v>0.88</v>
      </c>
      <c r="BW75" s="671">
        <v>0.88</v>
      </c>
      <c r="BX75" s="671">
        <v>0.88</v>
      </c>
      <c r="BY75" s="671">
        <v>0.88</v>
      </c>
      <c r="BZ75" s="671">
        <v>0.88</v>
      </c>
      <c r="CA75" s="671">
        <v>0.88</v>
      </c>
      <c r="CB75" s="671">
        <v>0.88</v>
      </c>
      <c r="CC75" s="671">
        <v>0.88</v>
      </c>
      <c r="CD75" s="671">
        <v>0.88</v>
      </c>
      <c r="CE75" s="671">
        <v>0.88</v>
      </c>
      <c r="CF75" s="671">
        <v>0.88</v>
      </c>
      <c r="CG75" s="671">
        <v>0.88</v>
      </c>
      <c r="CH75" s="671">
        <v>0.88</v>
      </c>
      <c r="CI75" s="672">
        <v>0.88</v>
      </c>
      <c r="CJ75" s="1619"/>
      <c r="CK75" s="1620"/>
    </row>
    <row r="76" spans="1:89" s="64" customFormat="1" ht="28.5" thickBot="1" x14ac:dyDescent="0.4">
      <c r="A76" s="58"/>
      <c r="B76" s="678" t="s">
        <v>430</v>
      </c>
      <c r="C76" s="679" t="s">
        <v>431</v>
      </c>
      <c r="D76" s="680" t="s">
        <v>432</v>
      </c>
      <c r="E76" s="681" t="s">
        <v>398</v>
      </c>
      <c r="F76" s="682">
        <v>2</v>
      </c>
      <c r="G76" s="630">
        <f>SUM(G63:G66)+G73+G74+G75</f>
        <v>147.773</v>
      </c>
      <c r="H76" s="630">
        <f t="shared" ref="H76:BS76" si="27">SUM(H63:H66)+H73+H74+H75</f>
        <v>146.07929999999999</v>
      </c>
      <c r="I76" s="630">
        <f t="shared" si="27"/>
        <v>147.03816667000001</v>
      </c>
      <c r="J76" s="630">
        <f t="shared" si="27"/>
        <v>150.15957471000002</v>
      </c>
      <c r="K76" s="630">
        <f t="shared" si="27"/>
        <v>152.97016381</v>
      </c>
      <c r="L76" s="630">
        <f t="shared" si="27"/>
        <v>155.80501913000001</v>
      </c>
      <c r="M76" s="630">
        <f t="shared" si="27"/>
        <v>158.84184242000001</v>
      </c>
      <c r="N76" s="630">
        <f t="shared" si="27"/>
        <v>161.32860464999999</v>
      </c>
      <c r="O76" s="630">
        <f t="shared" si="27"/>
        <v>164.2936181</v>
      </c>
      <c r="P76" s="630">
        <f t="shared" si="27"/>
        <v>167.15540056</v>
      </c>
      <c r="Q76" s="630">
        <f t="shared" si="27"/>
        <v>169.75426596999998</v>
      </c>
      <c r="R76" s="630">
        <f t="shared" si="27"/>
        <v>172.27520359000002</v>
      </c>
      <c r="S76" s="630">
        <f t="shared" si="27"/>
        <v>174.47545024000001</v>
      </c>
      <c r="T76" s="630">
        <f t="shared" si="27"/>
        <v>176.34312567000001</v>
      </c>
      <c r="U76" s="630">
        <f t="shared" si="27"/>
        <v>178.21295280999999</v>
      </c>
      <c r="V76" s="630">
        <f t="shared" si="27"/>
        <v>180.07705250999999</v>
      </c>
      <c r="W76" s="630">
        <f t="shared" si="27"/>
        <v>181.82161421000001</v>
      </c>
      <c r="X76" s="630">
        <f t="shared" si="27"/>
        <v>183.51960636000001</v>
      </c>
      <c r="Y76" s="630">
        <f t="shared" si="27"/>
        <v>185.12997239999999</v>
      </c>
      <c r="Z76" s="630">
        <f t="shared" si="27"/>
        <v>186.73103874</v>
      </c>
      <c r="AA76" s="630">
        <f t="shared" si="27"/>
        <v>188.34483488999999</v>
      </c>
      <c r="AB76" s="630">
        <f t="shared" si="27"/>
        <v>189.96969648999999</v>
      </c>
      <c r="AC76" s="630">
        <f t="shared" si="27"/>
        <v>191.55532238000001</v>
      </c>
      <c r="AD76" s="630">
        <f t="shared" si="27"/>
        <v>193.08258300999998</v>
      </c>
      <c r="AE76" s="630">
        <f t="shared" si="27"/>
        <v>194.57439597000001</v>
      </c>
      <c r="AF76" s="630">
        <f t="shared" si="27"/>
        <v>196.00653260000001</v>
      </c>
      <c r="AG76" s="630">
        <f t="shared" si="27"/>
        <v>197.40293707000001</v>
      </c>
      <c r="AH76" s="630">
        <f t="shared" si="27"/>
        <v>198.73834823000001</v>
      </c>
      <c r="AI76" s="630">
        <f t="shared" si="27"/>
        <v>200.03671506999999</v>
      </c>
      <c r="AJ76" s="630">
        <f t="shared" si="27"/>
        <v>201.27584346999998</v>
      </c>
      <c r="AK76" s="630">
        <f t="shared" si="27"/>
        <v>202.47558605999998</v>
      </c>
      <c r="AL76" s="630">
        <f t="shared" si="27"/>
        <v>203.08099858</v>
      </c>
      <c r="AM76" s="630">
        <f t="shared" si="27"/>
        <v>203.66526984000001</v>
      </c>
      <c r="AN76" s="630">
        <f t="shared" si="27"/>
        <v>204.23200811999999</v>
      </c>
      <c r="AO76" s="630">
        <f t="shared" si="27"/>
        <v>204.79500153000001</v>
      </c>
      <c r="AP76" s="630">
        <f t="shared" si="27"/>
        <v>205.35692123999999</v>
      </c>
      <c r="AQ76" s="630">
        <f t="shared" si="27"/>
        <v>205.94605767000002</v>
      </c>
      <c r="AR76" s="630">
        <f t="shared" si="27"/>
        <v>206.51246199000002</v>
      </c>
      <c r="AS76" s="630">
        <f t="shared" si="27"/>
        <v>207.03882432000003</v>
      </c>
      <c r="AT76" s="630">
        <f t="shared" si="27"/>
        <v>207.52261737999999</v>
      </c>
      <c r="AU76" s="630">
        <f t="shared" si="27"/>
        <v>208.01694043999998</v>
      </c>
      <c r="AV76" s="630">
        <f t="shared" si="27"/>
        <v>208.48829578000002</v>
      </c>
      <c r="AW76" s="630">
        <f t="shared" si="27"/>
        <v>208.95456683</v>
      </c>
      <c r="AX76" s="630">
        <f t="shared" si="27"/>
        <v>209.41443342999997</v>
      </c>
      <c r="AY76" s="630">
        <f t="shared" si="27"/>
        <v>209.89623412999998</v>
      </c>
      <c r="AZ76" s="630">
        <f t="shared" si="27"/>
        <v>210.38521236000003</v>
      </c>
      <c r="BA76" s="630">
        <f t="shared" si="27"/>
        <v>210.90037208999999</v>
      </c>
      <c r="BB76" s="630">
        <f t="shared" si="27"/>
        <v>211.40505080000003</v>
      </c>
      <c r="BC76" s="630">
        <f t="shared" si="27"/>
        <v>211.91192972000002</v>
      </c>
      <c r="BD76" s="630">
        <f t="shared" si="27"/>
        <v>212.41772319999998</v>
      </c>
      <c r="BE76" s="630">
        <f t="shared" si="27"/>
        <v>212.94036044999999</v>
      </c>
      <c r="BF76" s="630">
        <f t="shared" si="27"/>
        <v>213.47195554000001</v>
      </c>
      <c r="BG76" s="630">
        <f t="shared" si="27"/>
        <v>214.02567893</v>
      </c>
      <c r="BH76" s="630">
        <f t="shared" si="27"/>
        <v>214.58366323999999</v>
      </c>
      <c r="BI76" s="630">
        <f t="shared" si="27"/>
        <v>215.16069168500005</v>
      </c>
      <c r="BJ76" s="630">
        <f t="shared" si="27"/>
        <v>215.72731953900001</v>
      </c>
      <c r="BK76" s="630">
        <f t="shared" si="27"/>
        <v>216.315126988</v>
      </c>
      <c r="BL76" s="630">
        <f t="shared" si="27"/>
        <v>216.89044161800001</v>
      </c>
      <c r="BM76" s="630">
        <f t="shared" si="27"/>
        <v>217.48169443299997</v>
      </c>
      <c r="BN76" s="630">
        <f t="shared" si="27"/>
        <v>218.084738872</v>
      </c>
      <c r="BO76" s="630">
        <f t="shared" si="27"/>
        <v>218.71329262300003</v>
      </c>
      <c r="BP76" s="630">
        <f t="shared" si="27"/>
        <v>219.36643864999999</v>
      </c>
      <c r="BQ76" s="630">
        <f t="shared" si="27"/>
        <v>220.054741605</v>
      </c>
      <c r="BR76" s="630">
        <f t="shared" si="27"/>
        <v>220.75720906100003</v>
      </c>
      <c r="BS76" s="630">
        <f t="shared" si="27"/>
        <v>221.476932632</v>
      </c>
      <c r="BT76" s="630">
        <f t="shared" ref="BT76:CI76" si="28">SUM(BT63:BT66)+BT73+BT74+BT75</f>
        <v>222.20136250000002</v>
      </c>
      <c r="BU76" s="630">
        <f t="shared" si="28"/>
        <v>222.95372544900002</v>
      </c>
      <c r="BV76" s="630">
        <f t="shared" si="28"/>
        <v>223.71513229199999</v>
      </c>
      <c r="BW76" s="630">
        <f t="shared" si="28"/>
        <v>224.49179130300001</v>
      </c>
      <c r="BX76" s="630">
        <f t="shared" si="28"/>
        <v>225.27330575400001</v>
      </c>
      <c r="BY76" s="630">
        <f t="shared" si="28"/>
        <v>226.081847549</v>
      </c>
      <c r="BZ76" s="630">
        <f t="shared" si="28"/>
        <v>226.90706996500003</v>
      </c>
      <c r="CA76" s="630">
        <f t="shared" si="28"/>
        <v>227.75194488299999</v>
      </c>
      <c r="CB76" s="630">
        <f t="shared" si="28"/>
        <v>228.59649583999999</v>
      </c>
      <c r="CC76" s="630">
        <f t="shared" si="28"/>
        <v>229.44147455900003</v>
      </c>
      <c r="CD76" s="630">
        <f t="shared" si="28"/>
        <v>230.28614100300001</v>
      </c>
      <c r="CE76" s="630">
        <f t="shared" si="28"/>
        <v>231.14408301099999</v>
      </c>
      <c r="CF76" s="630">
        <f t="shared" si="28"/>
        <v>231.99101225299998</v>
      </c>
      <c r="CG76" s="630">
        <f t="shared" si="28"/>
        <v>232.83080406799999</v>
      </c>
      <c r="CH76" s="630">
        <f t="shared" si="28"/>
        <v>233.64878622000001</v>
      </c>
      <c r="CI76" s="630">
        <f t="shared" si="28"/>
        <v>234.46600004700002</v>
      </c>
      <c r="CJ76" s="1410"/>
      <c r="CK76" s="605"/>
    </row>
    <row r="77" spans="1:89" s="1621" customFormat="1" x14ac:dyDescent="0.35">
      <c r="A77" s="1618"/>
      <c r="B77" s="597" t="s">
        <v>433</v>
      </c>
      <c r="C77" s="598" t="s">
        <v>434</v>
      </c>
      <c r="D77" s="599" t="s">
        <v>82</v>
      </c>
      <c r="E77" s="683" t="s">
        <v>398</v>
      </c>
      <c r="F77" s="684">
        <v>2</v>
      </c>
      <c r="G77" s="666">
        <v>21.454731398820876</v>
      </c>
      <c r="H77" s="666">
        <v>21.454731398820876</v>
      </c>
      <c r="I77" s="666">
        <v>21.454731398820876</v>
      </c>
      <c r="J77" s="666">
        <v>21.454731398820876</v>
      </c>
      <c r="K77" s="666">
        <v>21.562064515352247</v>
      </c>
      <c r="L77" s="666">
        <v>21.662525824785231</v>
      </c>
      <c r="M77" s="667">
        <v>21.754975000619886</v>
      </c>
      <c r="N77" s="667">
        <v>21.828702419519423</v>
      </c>
      <c r="O77" s="667">
        <v>21.949910676240922</v>
      </c>
      <c r="P77" s="667">
        <v>22.069834638833999</v>
      </c>
      <c r="Q77" s="667">
        <v>22.188175112962721</v>
      </c>
      <c r="R77" s="667">
        <v>22.303603692293166</v>
      </c>
      <c r="S77" s="667">
        <v>22.411287964105604</v>
      </c>
      <c r="T77" s="667">
        <v>22.589103701829909</v>
      </c>
      <c r="U77" s="667">
        <v>22.719451670885086</v>
      </c>
      <c r="V77" s="667">
        <v>22.832256766557691</v>
      </c>
      <c r="W77" s="667">
        <v>22.920876761674879</v>
      </c>
      <c r="X77" s="667">
        <v>23.000280903100968</v>
      </c>
      <c r="Y77" s="667">
        <v>23.076595118761063</v>
      </c>
      <c r="Z77" s="667">
        <v>23.153694403886796</v>
      </c>
      <c r="AA77" s="667">
        <v>23.238798850297929</v>
      </c>
      <c r="AB77" s="667">
        <v>23.321403010606765</v>
      </c>
      <c r="AC77" s="667">
        <v>23.410032223939893</v>
      </c>
      <c r="AD77" s="667">
        <v>23.511650136232376</v>
      </c>
      <c r="AE77" s="667">
        <v>23.62581652188301</v>
      </c>
      <c r="AF77" s="667">
        <v>23.747162997484207</v>
      </c>
      <c r="AG77" s="667">
        <v>23.872536496400834</v>
      </c>
      <c r="AH77" s="667">
        <v>24.012559724092483</v>
      </c>
      <c r="AI77" s="667">
        <v>24.164656998872758</v>
      </c>
      <c r="AJ77" s="667">
        <v>24.314333844423295</v>
      </c>
      <c r="AK77" s="667">
        <v>24.465158190965653</v>
      </c>
      <c r="AL77" s="667">
        <v>24.606392518281936</v>
      </c>
      <c r="AM77" s="667">
        <v>24.585693319624902</v>
      </c>
      <c r="AN77" s="667">
        <v>24.6942370763729</v>
      </c>
      <c r="AO77" s="667">
        <v>24.802780833120998</v>
      </c>
      <c r="AP77" s="667">
        <v>24.911324589869096</v>
      </c>
      <c r="AQ77" s="667">
        <v>25.019868346617098</v>
      </c>
      <c r="AR77" s="667">
        <v>25.1284121033652</v>
      </c>
      <c r="AS77" s="667">
        <v>25.236955860113298</v>
      </c>
      <c r="AT77" s="667">
        <v>25.3454996168613</v>
      </c>
      <c r="AU77" s="667">
        <v>25.454043373609398</v>
      </c>
      <c r="AV77" s="667">
        <v>25.5625871303575</v>
      </c>
      <c r="AW77" s="667">
        <v>25.671130887105502</v>
      </c>
      <c r="AX77" s="667">
        <v>25.7796746438536</v>
      </c>
      <c r="AY77" s="667">
        <v>25.888218400601701</v>
      </c>
      <c r="AZ77" s="667">
        <v>25.9967621573497</v>
      </c>
      <c r="BA77" s="667">
        <v>26.105305914097801</v>
      </c>
      <c r="BB77" s="667">
        <v>26.213849670845899</v>
      </c>
      <c r="BC77" s="667">
        <v>26.322393427594001</v>
      </c>
      <c r="BD77" s="667">
        <v>26.430937184342</v>
      </c>
      <c r="BE77" s="667">
        <v>26.539480941090098</v>
      </c>
      <c r="BF77" s="667">
        <v>26.648024697838199</v>
      </c>
      <c r="BG77" s="667">
        <v>26.756568454586198</v>
      </c>
      <c r="BH77" s="667">
        <v>26.865112211334299</v>
      </c>
      <c r="BI77" s="667">
        <v>26.973655968082397</v>
      </c>
      <c r="BJ77" s="667">
        <v>27.082199724830399</v>
      </c>
      <c r="BK77" s="667">
        <v>27.190743481578501</v>
      </c>
      <c r="BL77" s="667">
        <v>27.299287238326599</v>
      </c>
      <c r="BM77" s="667">
        <v>27.407830995074601</v>
      </c>
      <c r="BN77" s="667">
        <v>27.516374751822699</v>
      </c>
      <c r="BO77" s="667">
        <v>27.624918508570801</v>
      </c>
      <c r="BP77" s="667">
        <v>27.733462265318803</v>
      </c>
      <c r="BQ77" s="667">
        <v>27.842006022066901</v>
      </c>
      <c r="BR77" s="667">
        <v>27.950549778814999</v>
      </c>
      <c r="BS77" s="667">
        <v>28.059093535562997</v>
      </c>
      <c r="BT77" s="667">
        <v>28.167637292311099</v>
      </c>
      <c r="BU77" s="667">
        <v>28.276181049059197</v>
      </c>
      <c r="BV77" s="667">
        <v>28.384724805807203</v>
      </c>
      <c r="BW77" s="667">
        <v>28.493268562555301</v>
      </c>
      <c r="BX77" s="667">
        <v>28.601812319303399</v>
      </c>
      <c r="BY77" s="667">
        <v>28.710356076051397</v>
      </c>
      <c r="BZ77" s="667">
        <v>28.818899832799502</v>
      </c>
      <c r="CA77" s="667">
        <v>28.9274435895476</v>
      </c>
      <c r="CB77" s="667">
        <v>29.035987346295698</v>
      </c>
      <c r="CC77" s="667">
        <v>29.144531103043697</v>
      </c>
      <c r="CD77" s="667">
        <v>29.253074859791802</v>
      </c>
      <c r="CE77" s="667">
        <v>29.3616186165399</v>
      </c>
      <c r="CF77" s="667">
        <v>29.470162373287899</v>
      </c>
      <c r="CG77" s="667">
        <v>29.578706130035997</v>
      </c>
      <c r="CH77" s="667">
        <v>29.687249886784095</v>
      </c>
      <c r="CI77" s="668">
        <v>29.7957936435321</v>
      </c>
      <c r="CJ77" s="1619">
        <v>29.904337400280198</v>
      </c>
      <c r="CK77" s="1620"/>
    </row>
    <row r="78" spans="1:89" s="1621" customFormat="1" x14ac:dyDescent="0.35">
      <c r="A78" s="1618"/>
      <c r="B78" s="614" t="s">
        <v>435</v>
      </c>
      <c r="C78" s="617" t="s">
        <v>436</v>
      </c>
      <c r="D78" s="608" t="s">
        <v>82</v>
      </c>
      <c r="E78" s="685" t="s">
        <v>398</v>
      </c>
      <c r="F78" s="686">
        <v>2</v>
      </c>
      <c r="G78" s="670">
        <v>3.89</v>
      </c>
      <c r="H78" s="670">
        <v>3.89</v>
      </c>
      <c r="I78" s="670">
        <v>3.89</v>
      </c>
      <c r="J78" s="670">
        <v>3.89</v>
      </c>
      <c r="K78" s="670">
        <v>3.89</v>
      </c>
      <c r="L78" s="670">
        <v>3.89</v>
      </c>
      <c r="M78" s="671">
        <v>3.89</v>
      </c>
      <c r="N78" s="671">
        <v>3.89</v>
      </c>
      <c r="O78" s="671">
        <v>3.89</v>
      </c>
      <c r="P78" s="671">
        <v>3.89</v>
      </c>
      <c r="Q78" s="671">
        <v>3.89</v>
      </c>
      <c r="R78" s="671">
        <v>3.89</v>
      </c>
      <c r="S78" s="671">
        <v>3.89</v>
      </c>
      <c r="T78" s="671">
        <v>3.89</v>
      </c>
      <c r="U78" s="671">
        <v>3.89</v>
      </c>
      <c r="V78" s="671">
        <v>3.89</v>
      </c>
      <c r="W78" s="671">
        <v>3.89</v>
      </c>
      <c r="X78" s="671">
        <v>3.89</v>
      </c>
      <c r="Y78" s="671">
        <v>3.89</v>
      </c>
      <c r="Z78" s="671">
        <v>3.89</v>
      </c>
      <c r="AA78" s="671">
        <v>3.89</v>
      </c>
      <c r="AB78" s="671">
        <v>3.89</v>
      </c>
      <c r="AC78" s="671">
        <v>3.89</v>
      </c>
      <c r="AD78" s="671">
        <v>3.89</v>
      </c>
      <c r="AE78" s="671">
        <v>3.89</v>
      </c>
      <c r="AF78" s="671">
        <v>3.89</v>
      </c>
      <c r="AG78" s="671">
        <v>3.89</v>
      </c>
      <c r="AH78" s="671">
        <v>3.89</v>
      </c>
      <c r="AI78" s="671">
        <v>3.89</v>
      </c>
      <c r="AJ78" s="671">
        <v>3.89</v>
      </c>
      <c r="AK78" s="671">
        <v>3.89</v>
      </c>
      <c r="AL78" s="671">
        <v>3.89</v>
      </c>
      <c r="AM78" s="671">
        <v>3.89</v>
      </c>
      <c r="AN78" s="671">
        <v>3.89</v>
      </c>
      <c r="AO78" s="671">
        <v>3.89</v>
      </c>
      <c r="AP78" s="671">
        <v>3.89</v>
      </c>
      <c r="AQ78" s="671">
        <v>3.89</v>
      </c>
      <c r="AR78" s="671">
        <v>3.89</v>
      </c>
      <c r="AS78" s="671">
        <v>3.89</v>
      </c>
      <c r="AT78" s="671">
        <v>3.89</v>
      </c>
      <c r="AU78" s="671">
        <v>3.89</v>
      </c>
      <c r="AV78" s="671">
        <v>3.89</v>
      </c>
      <c r="AW78" s="671">
        <v>3.89</v>
      </c>
      <c r="AX78" s="671">
        <v>3.89</v>
      </c>
      <c r="AY78" s="671">
        <v>3.89</v>
      </c>
      <c r="AZ78" s="671">
        <v>3.89</v>
      </c>
      <c r="BA78" s="671">
        <v>3.89</v>
      </c>
      <c r="BB78" s="671">
        <v>3.89</v>
      </c>
      <c r="BC78" s="671">
        <v>3.89</v>
      </c>
      <c r="BD78" s="671">
        <v>3.89</v>
      </c>
      <c r="BE78" s="671">
        <v>3.89</v>
      </c>
      <c r="BF78" s="671">
        <v>3.89</v>
      </c>
      <c r="BG78" s="671">
        <v>3.89</v>
      </c>
      <c r="BH78" s="671">
        <v>3.89</v>
      </c>
      <c r="BI78" s="671">
        <v>3.89</v>
      </c>
      <c r="BJ78" s="671">
        <v>3.89</v>
      </c>
      <c r="BK78" s="671">
        <v>3.89</v>
      </c>
      <c r="BL78" s="671">
        <v>3.89</v>
      </c>
      <c r="BM78" s="671">
        <v>3.89</v>
      </c>
      <c r="BN78" s="671">
        <v>3.89</v>
      </c>
      <c r="BO78" s="671">
        <v>3.89</v>
      </c>
      <c r="BP78" s="671">
        <v>3.89</v>
      </c>
      <c r="BQ78" s="671">
        <v>3.89</v>
      </c>
      <c r="BR78" s="671">
        <v>3.89</v>
      </c>
      <c r="BS78" s="671">
        <v>3.89</v>
      </c>
      <c r="BT78" s="671">
        <v>3.89</v>
      </c>
      <c r="BU78" s="671">
        <v>3.89</v>
      </c>
      <c r="BV78" s="671">
        <v>3.89</v>
      </c>
      <c r="BW78" s="671">
        <v>3.89</v>
      </c>
      <c r="BX78" s="671">
        <v>3.89</v>
      </c>
      <c r="BY78" s="671">
        <v>3.89</v>
      </c>
      <c r="BZ78" s="671">
        <v>3.89</v>
      </c>
      <c r="CA78" s="671">
        <v>3.89</v>
      </c>
      <c r="CB78" s="671">
        <v>3.89</v>
      </c>
      <c r="CC78" s="671">
        <v>3.89</v>
      </c>
      <c r="CD78" s="671">
        <v>3.89</v>
      </c>
      <c r="CE78" s="671">
        <v>3.89</v>
      </c>
      <c r="CF78" s="671">
        <v>3.89</v>
      </c>
      <c r="CG78" s="671">
        <v>3.89</v>
      </c>
      <c r="CH78" s="671">
        <v>3.89</v>
      </c>
      <c r="CI78" s="672">
        <v>3.89</v>
      </c>
      <c r="CJ78" s="1619">
        <v>3.89</v>
      </c>
      <c r="CK78" s="1620"/>
    </row>
    <row r="79" spans="1:89" s="1621" customFormat="1" x14ac:dyDescent="0.35">
      <c r="A79" s="1618"/>
      <c r="B79" s="606" t="s">
        <v>437</v>
      </c>
      <c r="C79" s="687" t="s">
        <v>438</v>
      </c>
      <c r="D79" s="608" t="s">
        <v>82</v>
      </c>
      <c r="E79" s="685" t="s">
        <v>398</v>
      </c>
      <c r="F79" s="686">
        <v>2</v>
      </c>
      <c r="G79" s="670">
        <v>230.19824350000002</v>
      </c>
      <c r="H79" s="670">
        <v>236.88780679999999</v>
      </c>
      <c r="I79" s="670">
        <v>244.7</v>
      </c>
      <c r="J79" s="670">
        <v>255.6014098</v>
      </c>
      <c r="K79" s="670">
        <v>264.71380589999995</v>
      </c>
      <c r="L79" s="670">
        <v>273.86312050000004</v>
      </c>
      <c r="M79" s="671">
        <v>283.37343099999998</v>
      </c>
      <c r="N79" s="671">
        <v>291.09339629999999</v>
      </c>
      <c r="O79" s="671">
        <v>299.931376</v>
      </c>
      <c r="P79" s="671">
        <v>308.48378480000002</v>
      </c>
      <c r="Q79" s="671">
        <v>316.1219175</v>
      </c>
      <c r="R79" s="671">
        <v>323.52383000000003</v>
      </c>
      <c r="S79" s="671">
        <v>329.73889299999996</v>
      </c>
      <c r="T79" s="671">
        <v>335.01167369999996</v>
      </c>
      <c r="U79" s="671">
        <v>340.35944309999996</v>
      </c>
      <c r="V79" s="671">
        <v>345.81635990000001</v>
      </c>
      <c r="W79" s="671">
        <v>350.73772730000002</v>
      </c>
      <c r="X79" s="671">
        <v>355.21205699999996</v>
      </c>
      <c r="Y79" s="671">
        <v>359.4033445</v>
      </c>
      <c r="Z79" s="671">
        <v>363.73123570000001</v>
      </c>
      <c r="AA79" s="671">
        <v>367.74180389999998</v>
      </c>
      <c r="AB79" s="671">
        <v>371.73488760000004</v>
      </c>
      <c r="AC79" s="671">
        <v>375.62271290000001</v>
      </c>
      <c r="AD79" s="671">
        <v>379.39396769999996</v>
      </c>
      <c r="AE79" s="671">
        <v>383.0941181</v>
      </c>
      <c r="AF79" s="671">
        <v>386.6266885</v>
      </c>
      <c r="AG79" s="671">
        <v>389.9253496</v>
      </c>
      <c r="AH79" s="671">
        <v>393.04922850000003</v>
      </c>
      <c r="AI79" s="671">
        <v>396.08558270000003</v>
      </c>
      <c r="AJ79" s="671">
        <v>398.98915679999999</v>
      </c>
      <c r="AK79" s="671">
        <v>401.70492280000002</v>
      </c>
      <c r="AL79" s="671">
        <v>403.24168310000005</v>
      </c>
      <c r="AM79" s="671">
        <v>404.72904920000002</v>
      </c>
      <c r="AN79" s="671">
        <v>406.17820949999998</v>
      </c>
      <c r="AO79" s="671">
        <v>407.57057429999998</v>
      </c>
      <c r="AP79" s="671">
        <v>408.93303689999999</v>
      </c>
      <c r="AQ79" s="671">
        <v>410.24329299999999</v>
      </c>
      <c r="AR79" s="671">
        <v>411.52987769999999</v>
      </c>
      <c r="AS79" s="671">
        <v>412.76224550000001</v>
      </c>
      <c r="AT79" s="671">
        <v>413.93817780000001</v>
      </c>
      <c r="AU79" s="671">
        <v>415.08224630000001</v>
      </c>
      <c r="AV79" s="671">
        <v>416.1779439</v>
      </c>
      <c r="AW79" s="671">
        <v>417.24360359999997</v>
      </c>
      <c r="AX79" s="671">
        <v>418.27877409999996</v>
      </c>
      <c r="AY79" s="671">
        <v>419.2713114</v>
      </c>
      <c r="AZ79" s="671">
        <v>420.23854879999999</v>
      </c>
      <c r="BA79" s="671">
        <v>421.18600050000003</v>
      </c>
      <c r="BB79" s="671">
        <v>422.12878169999999</v>
      </c>
      <c r="BC79" s="671">
        <v>423.05429599999997</v>
      </c>
      <c r="BD79" s="671">
        <v>423.9748616</v>
      </c>
      <c r="BE79" s="671">
        <v>424.88393669999999</v>
      </c>
      <c r="BF79" s="671">
        <v>425.78475429999997</v>
      </c>
      <c r="BG79" s="671">
        <v>426.69947880000001</v>
      </c>
      <c r="BH79" s="671">
        <v>427.62044559999998</v>
      </c>
      <c r="BI79" s="671">
        <v>428.55697079999999</v>
      </c>
      <c r="BJ79" s="671">
        <v>429.50200160000003</v>
      </c>
      <c r="BK79" s="671">
        <v>430.45032929999996</v>
      </c>
      <c r="BL79" s="671">
        <v>431.41453759999996</v>
      </c>
      <c r="BM79" s="671">
        <v>432.3978027</v>
      </c>
      <c r="BN79" s="671">
        <v>433.3993777</v>
      </c>
      <c r="BO79" s="671">
        <v>434.41796820000002</v>
      </c>
      <c r="BP79" s="671">
        <v>435.44997899999998</v>
      </c>
      <c r="BQ79" s="671">
        <v>436.49494040000002</v>
      </c>
      <c r="BR79" s="671">
        <v>437.5541882</v>
      </c>
      <c r="BS79" s="671">
        <v>438.61611979999998</v>
      </c>
      <c r="BT79" s="671">
        <v>439.68300339999996</v>
      </c>
      <c r="BU79" s="671">
        <v>440.74731270000001</v>
      </c>
      <c r="BV79" s="671">
        <v>441.81652589999999</v>
      </c>
      <c r="BW79" s="671">
        <v>442.8739708</v>
      </c>
      <c r="BX79" s="671">
        <v>443.92365970000003</v>
      </c>
      <c r="BY79" s="671">
        <v>444.96169479999998</v>
      </c>
      <c r="BZ79" s="671">
        <v>445.98427679999998</v>
      </c>
      <c r="CA79" s="671">
        <v>446.99362920000004</v>
      </c>
      <c r="CB79" s="671">
        <v>447.99250990000002</v>
      </c>
      <c r="CC79" s="671">
        <v>448.9781352</v>
      </c>
      <c r="CD79" s="671">
        <v>449.94868349999996</v>
      </c>
      <c r="CE79" s="671">
        <v>450.89372070000002</v>
      </c>
      <c r="CF79" s="671">
        <v>451.81747200000001</v>
      </c>
      <c r="CG79" s="671">
        <v>452.7256721</v>
      </c>
      <c r="CH79" s="671">
        <v>453.61940220000002</v>
      </c>
      <c r="CI79" s="672">
        <v>454.48921940000002</v>
      </c>
      <c r="CJ79" s="1619"/>
      <c r="CK79" s="1620"/>
    </row>
    <row r="80" spans="1:89" s="1621" customFormat="1" x14ac:dyDescent="0.35">
      <c r="A80" s="1618"/>
      <c r="B80" s="606" t="s">
        <v>439</v>
      </c>
      <c r="C80" s="687" t="s">
        <v>440</v>
      </c>
      <c r="D80" s="608" t="s">
        <v>82</v>
      </c>
      <c r="E80" s="685" t="s">
        <v>398</v>
      </c>
      <c r="F80" s="686">
        <v>2</v>
      </c>
      <c r="G80" s="670">
        <v>96.723756460000004</v>
      </c>
      <c r="H80" s="670">
        <v>95.109690570000012</v>
      </c>
      <c r="I80" s="670">
        <v>95.680999999999997</v>
      </c>
      <c r="J80" s="670">
        <v>94.439377660000005</v>
      </c>
      <c r="K80" s="670">
        <v>92.843784329999991</v>
      </c>
      <c r="L80" s="670">
        <v>91.256070410000007</v>
      </c>
      <c r="M80" s="671">
        <v>89.64628227</v>
      </c>
      <c r="N80" s="671">
        <v>87.93630847</v>
      </c>
      <c r="O80" s="671">
        <v>86.249672500000003</v>
      </c>
      <c r="P80" s="671">
        <v>84.578246889999988</v>
      </c>
      <c r="Q80" s="671">
        <v>82.874333799999988</v>
      </c>
      <c r="R80" s="671">
        <v>81.181187600000001</v>
      </c>
      <c r="S80" s="671">
        <v>79.42761007</v>
      </c>
      <c r="T80" s="671">
        <v>77.670540590000002</v>
      </c>
      <c r="U80" s="671">
        <v>75.967221289999998</v>
      </c>
      <c r="V80" s="671">
        <v>74.321009849999996</v>
      </c>
      <c r="W80" s="671">
        <v>72.67073259</v>
      </c>
      <c r="X80" s="671">
        <v>70.9977272</v>
      </c>
      <c r="Y80" s="671">
        <v>69.375691570000001</v>
      </c>
      <c r="Z80" s="671">
        <v>67.834490880000004</v>
      </c>
      <c r="AA80" s="671">
        <v>66.285761989999997</v>
      </c>
      <c r="AB80" s="671">
        <v>64.776952260000002</v>
      </c>
      <c r="AC80" s="671">
        <v>63.320781589999996</v>
      </c>
      <c r="AD80" s="671">
        <v>61.91197056</v>
      </c>
      <c r="AE80" s="671">
        <v>60.553965929999997</v>
      </c>
      <c r="AF80" s="671">
        <v>59.230607649999996</v>
      </c>
      <c r="AG80" s="671">
        <v>57.92909375</v>
      </c>
      <c r="AH80" s="671">
        <v>56.659373339999995</v>
      </c>
      <c r="AI80" s="671">
        <v>55.430867810000002</v>
      </c>
      <c r="AJ80" s="671">
        <v>54.236248850000003</v>
      </c>
      <c r="AK80" s="671">
        <v>53.066983970000003</v>
      </c>
      <c r="AL80" s="671">
        <v>51.959438609999999</v>
      </c>
      <c r="AM80" s="671">
        <v>50.885203410000003</v>
      </c>
      <c r="AN80" s="671">
        <v>49.837480020000001</v>
      </c>
      <c r="AO80" s="671">
        <v>48.815038520000002</v>
      </c>
      <c r="AP80" s="671">
        <v>47.814014</v>
      </c>
      <c r="AQ80" s="671">
        <v>46.82918574</v>
      </c>
      <c r="AR80" s="671">
        <v>45.871547020000001</v>
      </c>
      <c r="AS80" s="671">
        <v>44.946438210000004</v>
      </c>
      <c r="AT80" s="671">
        <v>44.047895850000003</v>
      </c>
      <c r="AU80" s="671">
        <v>43.16944719</v>
      </c>
      <c r="AV80" s="671">
        <v>42.312148469999997</v>
      </c>
      <c r="AW80" s="671">
        <v>41.477724869999996</v>
      </c>
      <c r="AX80" s="671">
        <v>40.663332260000004</v>
      </c>
      <c r="AY80" s="671">
        <v>39.865447119999999</v>
      </c>
      <c r="AZ80" s="671">
        <v>39.084248649999999</v>
      </c>
      <c r="BA80" s="671">
        <v>38.320130499999998</v>
      </c>
      <c r="BB80" s="671">
        <v>37.57751554</v>
      </c>
      <c r="BC80" s="671">
        <v>36.856098510000002</v>
      </c>
      <c r="BD80" s="671">
        <v>36.152948340000002</v>
      </c>
      <c r="BE80" s="671">
        <v>35.467414329999997</v>
      </c>
      <c r="BF80" s="671">
        <v>34.798882849999998</v>
      </c>
      <c r="BG80" s="671">
        <v>34.148089970000001</v>
      </c>
      <c r="BH80" s="671">
        <v>33.51353993</v>
      </c>
      <c r="BI80" s="671">
        <v>32.896430869999996</v>
      </c>
      <c r="BJ80" s="671">
        <v>32.29732783</v>
      </c>
      <c r="BK80" s="671">
        <v>31.713321130000001</v>
      </c>
      <c r="BL80" s="671">
        <v>31.147153630000002</v>
      </c>
      <c r="BM80" s="671">
        <v>30.597097989999998</v>
      </c>
      <c r="BN80" s="671">
        <v>30.06011015</v>
      </c>
      <c r="BO80" s="671">
        <v>29.536747940000001</v>
      </c>
      <c r="BP80" s="671">
        <v>29.023531630000001</v>
      </c>
      <c r="BQ80" s="671">
        <v>28.521660430000001</v>
      </c>
      <c r="BR80" s="671">
        <v>28.031117149999996</v>
      </c>
      <c r="BS80" s="671">
        <v>27.553301139999999</v>
      </c>
      <c r="BT80" s="671">
        <v>27.086964820000002</v>
      </c>
      <c r="BU80" s="671">
        <v>26.63092653</v>
      </c>
      <c r="BV80" s="671">
        <v>26.185252850000001</v>
      </c>
      <c r="BW80" s="671">
        <v>25.750517290000001</v>
      </c>
      <c r="BX80" s="671">
        <v>25.325439360000001</v>
      </c>
      <c r="BY80" s="671">
        <v>24.909310010000002</v>
      </c>
      <c r="BZ80" s="671">
        <v>24.50056107</v>
      </c>
      <c r="CA80" s="671">
        <v>24.101236540000002</v>
      </c>
      <c r="CB80" s="671">
        <v>23.711246110000001</v>
      </c>
      <c r="CC80" s="671">
        <v>23.33240262</v>
      </c>
      <c r="CD80" s="671">
        <v>22.96210662</v>
      </c>
      <c r="CE80" s="671">
        <v>22.600328219999998</v>
      </c>
      <c r="CF80" s="671">
        <v>22.24751697</v>
      </c>
      <c r="CG80" s="671">
        <v>21.90539278</v>
      </c>
      <c r="CH80" s="671">
        <v>21.5731009</v>
      </c>
      <c r="CI80" s="672">
        <v>21.249780640000001</v>
      </c>
      <c r="CJ80" s="1619"/>
      <c r="CK80" s="1620"/>
    </row>
    <row r="81" spans="1:93" s="64" customFormat="1" x14ac:dyDescent="0.35">
      <c r="A81" s="58"/>
      <c r="B81" s="688" t="s">
        <v>441</v>
      </c>
      <c r="C81" s="687" t="s">
        <v>442</v>
      </c>
      <c r="D81" s="689" t="s">
        <v>443</v>
      </c>
      <c r="E81" s="685" t="s">
        <v>398</v>
      </c>
      <c r="F81" s="686">
        <v>2</v>
      </c>
      <c r="G81" s="618">
        <f>SUM(G77:G80)</f>
        <v>352.26673135882089</v>
      </c>
      <c r="H81" s="618">
        <f t="shared" ref="H81:BS81" si="29">SUM(H77:H80)</f>
        <v>357.34222876882086</v>
      </c>
      <c r="I81" s="618">
        <f t="shared" si="29"/>
        <v>365.72573139882087</v>
      </c>
      <c r="J81" s="618">
        <f t="shared" si="29"/>
        <v>375.38551885882089</v>
      </c>
      <c r="K81" s="618">
        <f t="shared" si="29"/>
        <v>383.00965474535218</v>
      </c>
      <c r="L81" s="618">
        <f t="shared" si="29"/>
        <v>390.67171673478526</v>
      </c>
      <c r="M81" s="623">
        <f t="shared" si="29"/>
        <v>398.66468827061988</v>
      </c>
      <c r="N81" s="623">
        <f t="shared" si="29"/>
        <v>404.74840718951941</v>
      </c>
      <c r="O81" s="623">
        <f t="shared" si="29"/>
        <v>412.02095917624092</v>
      </c>
      <c r="P81" s="623">
        <f t="shared" si="29"/>
        <v>419.02186632883405</v>
      </c>
      <c r="Q81" s="623">
        <f t="shared" si="29"/>
        <v>425.07442641296268</v>
      </c>
      <c r="R81" s="623">
        <f t="shared" si="29"/>
        <v>430.89862129229317</v>
      </c>
      <c r="S81" s="623">
        <f t="shared" si="29"/>
        <v>435.46779103410557</v>
      </c>
      <c r="T81" s="623">
        <f t="shared" si="29"/>
        <v>439.16131799182983</v>
      </c>
      <c r="U81" s="623">
        <f t="shared" si="29"/>
        <v>442.93611606088507</v>
      </c>
      <c r="V81" s="623">
        <f t="shared" si="29"/>
        <v>446.85962651655768</v>
      </c>
      <c r="W81" s="623">
        <f t="shared" si="29"/>
        <v>450.21933665167489</v>
      </c>
      <c r="X81" s="623">
        <f t="shared" si="29"/>
        <v>453.10006510310092</v>
      </c>
      <c r="Y81" s="623">
        <f t="shared" si="29"/>
        <v>455.74563118876108</v>
      </c>
      <c r="Z81" s="623">
        <f t="shared" si="29"/>
        <v>458.60942098388682</v>
      </c>
      <c r="AA81" s="623">
        <f t="shared" si="29"/>
        <v>461.15636474029793</v>
      </c>
      <c r="AB81" s="623">
        <f t="shared" si="29"/>
        <v>463.72324287060678</v>
      </c>
      <c r="AC81" s="623">
        <f t="shared" si="29"/>
        <v>466.2435267139399</v>
      </c>
      <c r="AD81" s="623">
        <f t="shared" si="29"/>
        <v>468.70758839623232</v>
      </c>
      <c r="AE81" s="623">
        <f t="shared" si="29"/>
        <v>471.16390055188299</v>
      </c>
      <c r="AF81" s="623">
        <f t="shared" si="29"/>
        <v>473.49445914748424</v>
      </c>
      <c r="AG81" s="623">
        <f t="shared" si="29"/>
        <v>475.61697984640085</v>
      </c>
      <c r="AH81" s="623">
        <f t="shared" si="29"/>
        <v>477.61116156409253</v>
      </c>
      <c r="AI81" s="623">
        <f t="shared" si="29"/>
        <v>479.57110750887279</v>
      </c>
      <c r="AJ81" s="623">
        <f t="shared" si="29"/>
        <v>481.42973949442325</v>
      </c>
      <c r="AK81" s="623">
        <f t="shared" si="29"/>
        <v>483.1270649609657</v>
      </c>
      <c r="AL81" s="623">
        <f t="shared" si="29"/>
        <v>483.69751422828199</v>
      </c>
      <c r="AM81" s="623">
        <f t="shared" si="29"/>
        <v>484.08994592962495</v>
      </c>
      <c r="AN81" s="623">
        <f t="shared" si="29"/>
        <v>484.59992659637288</v>
      </c>
      <c r="AO81" s="623">
        <f t="shared" si="29"/>
        <v>485.078393653121</v>
      </c>
      <c r="AP81" s="623">
        <f t="shared" si="29"/>
        <v>485.5483754898691</v>
      </c>
      <c r="AQ81" s="623">
        <f t="shared" si="29"/>
        <v>485.9823470866171</v>
      </c>
      <c r="AR81" s="623">
        <f t="shared" si="29"/>
        <v>486.41983682336519</v>
      </c>
      <c r="AS81" s="623">
        <f t="shared" si="29"/>
        <v>486.8356395701133</v>
      </c>
      <c r="AT81" s="623">
        <f t="shared" si="29"/>
        <v>487.22157326686136</v>
      </c>
      <c r="AU81" s="623">
        <f t="shared" si="29"/>
        <v>487.59573686360943</v>
      </c>
      <c r="AV81" s="623">
        <f t="shared" si="29"/>
        <v>487.94267950035749</v>
      </c>
      <c r="AW81" s="623">
        <f t="shared" si="29"/>
        <v>488.28245935710544</v>
      </c>
      <c r="AX81" s="623">
        <f t="shared" si="29"/>
        <v>488.61178100385359</v>
      </c>
      <c r="AY81" s="623">
        <f t="shared" si="29"/>
        <v>488.9149769206017</v>
      </c>
      <c r="AZ81" s="623">
        <f t="shared" si="29"/>
        <v>489.20955960734972</v>
      </c>
      <c r="BA81" s="623">
        <f t="shared" si="29"/>
        <v>489.50143691409784</v>
      </c>
      <c r="BB81" s="623">
        <f t="shared" si="29"/>
        <v>489.81014691084584</v>
      </c>
      <c r="BC81" s="623">
        <f t="shared" si="29"/>
        <v>490.12278793759396</v>
      </c>
      <c r="BD81" s="623">
        <f t="shared" si="29"/>
        <v>490.44874712434199</v>
      </c>
      <c r="BE81" s="623">
        <f t="shared" si="29"/>
        <v>490.78083197109009</v>
      </c>
      <c r="BF81" s="623">
        <f t="shared" si="29"/>
        <v>491.12166184783814</v>
      </c>
      <c r="BG81" s="623">
        <f t="shared" si="29"/>
        <v>491.49413722458621</v>
      </c>
      <c r="BH81" s="623">
        <f t="shared" si="29"/>
        <v>491.88909774133424</v>
      </c>
      <c r="BI81" s="623">
        <f t="shared" si="29"/>
        <v>492.31705763808242</v>
      </c>
      <c r="BJ81" s="623">
        <f t="shared" si="29"/>
        <v>492.77152915483043</v>
      </c>
      <c r="BK81" s="623">
        <f t="shared" si="29"/>
        <v>493.24439391157847</v>
      </c>
      <c r="BL81" s="623">
        <f t="shared" si="29"/>
        <v>493.75097846832654</v>
      </c>
      <c r="BM81" s="623">
        <f t="shared" si="29"/>
        <v>494.29273168507461</v>
      </c>
      <c r="BN81" s="623">
        <f t="shared" si="29"/>
        <v>494.8658626018227</v>
      </c>
      <c r="BO81" s="623">
        <f t="shared" si="29"/>
        <v>495.46963464857083</v>
      </c>
      <c r="BP81" s="623">
        <f t="shared" si="29"/>
        <v>496.09697289531874</v>
      </c>
      <c r="BQ81" s="623">
        <f t="shared" si="29"/>
        <v>496.74860685206693</v>
      </c>
      <c r="BR81" s="623">
        <f t="shared" si="29"/>
        <v>497.42585512881499</v>
      </c>
      <c r="BS81" s="623">
        <f t="shared" si="29"/>
        <v>498.11851447556296</v>
      </c>
      <c r="BT81" s="623">
        <f t="shared" ref="BT81:CI81" si="30">SUM(BT77:BT80)</f>
        <v>498.82760551231104</v>
      </c>
      <c r="BU81" s="623">
        <f t="shared" si="30"/>
        <v>499.54442027905924</v>
      </c>
      <c r="BV81" s="623">
        <f t="shared" si="30"/>
        <v>500.27650355580715</v>
      </c>
      <c r="BW81" s="623">
        <f t="shared" si="30"/>
        <v>501.00775665255532</v>
      </c>
      <c r="BX81" s="623">
        <f t="shared" si="30"/>
        <v>501.74091137930344</v>
      </c>
      <c r="BY81" s="623">
        <f t="shared" si="30"/>
        <v>502.4713608860514</v>
      </c>
      <c r="BZ81" s="623">
        <f t="shared" si="30"/>
        <v>503.19373770279947</v>
      </c>
      <c r="CA81" s="623">
        <f t="shared" si="30"/>
        <v>503.91230932954767</v>
      </c>
      <c r="CB81" s="623">
        <f t="shared" si="30"/>
        <v>504.62974335629571</v>
      </c>
      <c r="CC81" s="623">
        <f t="shared" si="30"/>
        <v>505.3450689230437</v>
      </c>
      <c r="CD81" s="623">
        <f t="shared" si="30"/>
        <v>506.05386497979174</v>
      </c>
      <c r="CE81" s="623">
        <f t="shared" si="30"/>
        <v>506.74566753653988</v>
      </c>
      <c r="CF81" s="623">
        <f t="shared" si="30"/>
        <v>507.42515134328789</v>
      </c>
      <c r="CG81" s="623">
        <f t="shared" si="30"/>
        <v>508.09977101003602</v>
      </c>
      <c r="CH81" s="623">
        <f t="shared" si="30"/>
        <v>508.76975298678411</v>
      </c>
      <c r="CI81" s="619">
        <f t="shared" si="30"/>
        <v>509.42479368353213</v>
      </c>
      <c r="CJ81" s="1410"/>
      <c r="CK81" s="605"/>
    </row>
    <row r="82" spans="1:93" s="64" customFormat="1" ht="28" x14ac:dyDescent="0.35">
      <c r="A82" s="58"/>
      <c r="B82" s="688" t="s">
        <v>444</v>
      </c>
      <c r="C82" s="687" t="s">
        <v>445</v>
      </c>
      <c r="D82" s="689" t="s">
        <v>446</v>
      </c>
      <c r="E82" s="685" t="s">
        <v>447</v>
      </c>
      <c r="F82" s="686">
        <v>1</v>
      </c>
      <c r="G82" s="648">
        <f>(G80+G79)/(G66+G74)</f>
        <v>2.4253273486405278</v>
      </c>
      <c r="H82" s="648">
        <f t="shared" ref="H82:BS82" si="31">(H80+H79)/(H66+H74)</f>
        <v>2.4757216922580167</v>
      </c>
      <c r="I82" s="648">
        <f t="shared" si="31"/>
        <v>2.5207774558396014</v>
      </c>
      <c r="J82" s="648">
        <f t="shared" si="31"/>
        <v>2.5341113224466767</v>
      </c>
      <c r="K82" s="648">
        <f t="shared" si="31"/>
        <v>2.5374501431410525</v>
      </c>
      <c r="L82" s="648">
        <f t="shared" si="31"/>
        <v>2.5403657093851817</v>
      </c>
      <c r="M82" s="648">
        <f t="shared" si="31"/>
        <v>2.5421518793346678</v>
      </c>
      <c r="N82" s="648">
        <f t="shared" si="31"/>
        <v>2.5404032755707733</v>
      </c>
      <c r="O82" s="648">
        <f t="shared" si="31"/>
        <v>2.5383999705194609</v>
      </c>
      <c r="P82" s="648">
        <f t="shared" si="31"/>
        <v>2.5362538684330609</v>
      </c>
      <c r="Q82" s="648">
        <f t="shared" si="31"/>
        <v>2.5325655853752638</v>
      </c>
      <c r="R82" s="648">
        <f t="shared" si="31"/>
        <v>2.5286603484603876</v>
      </c>
      <c r="S82" s="648">
        <f t="shared" si="31"/>
        <v>2.5223334632904164</v>
      </c>
      <c r="T82" s="648">
        <f t="shared" si="31"/>
        <v>2.5153560977978184</v>
      </c>
      <c r="U82" s="648">
        <f t="shared" si="31"/>
        <v>2.5094287864135763</v>
      </c>
      <c r="V82" s="648">
        <f t="shared" si="31"/>
        <v>2.504558824407991</v>
      </c>
      <c r="W82" s="648">
        <f t="shared" si="31"/>
        <v>2.4985213602567837</v>
      </c>
      <c r="X82" s="648">
        <f t="shared" si="31"/>
        <v>2.4903925659284663</v>
      </c>
      <c r="Y82" s="648">
        <f t="shared" si="31"/>
        <v>2.4824811233454862</v>
      </c>
      <c r="Z82" s="648">
        <f t="shared" si="31"/>
        <v>2.4759506759015673</v>
      </c>
      <c r="AA82" s="648">
        <f t="shared" si="31"/>
        <v>2.4676523752413977</v>
      </c>
      <c r="AB82" s="648">
        <f t="shared" si="31"/>
        <v>2.4593366816153757</v>
      </c>
      <c r="AC82" s="648">
        <f t="shared" si="31"/>
        <v>2.4515501748661226</v>
      </c>
      <c r="AD82" s="648">
        <f t="shared" si="31"/>
        <v>2.4441691310353408</v>
      </c>
      <c r="AE82" s="648">
        <f t="shared" si="31"/>
        <v>2.4374072548009478</v>
      </c>
      <c r="AF82" s="648">
        <f t="shared" si="31"/>
        <v>2.4306867084973889</v>
      </c>
      <c r="AG82" s="648">
        <f t="shared" si="31"/>
        <v>2.4235211767752789</v>
      </c>
      <c r="AH82" s="648">
        <f t="shared" si="31"/>
        <v>2.4163546310935837</v>
      </c>
      <c r="AI82" s="648">
        <f t="shared" si="31"/>
        <v>2.4096464229745882</v>
      </c>
      <c r="AJ82" s="648">
        <f t="shared" si="31"/>
        <v>2.4031314319990829</v>
      </c>
      <c r="AK82" s="648">
        <f t="shared" si="31"/>
        <v>2.3964677857377183</v>
      </c>
      <c r="AL82" s="648">
        <f t="shared" si="31"/>
        <v>2.3913525140434908</v>
      </c>
      <c r="AM82" s="648">
        <f t="shared" si="31"/>
        <v>2.3865736123713455</v>
      </c>
      <c r="AN82" s="648">
        <f t="shared" si="31"/>
        <v>2.3818550157183305</v>
      </c>
      <c r="AO82" s="648">
        <f t="shared" si="31"/>
        <v>2.3771693353348451</v>
      </c>
      <c r="AP82" s="648">
        <f t="shared" si="31"/>
        <v>2.3723555295395578</v>
      </c>
      <c r="AQ82" s="648">
        <f t="shared" si="31"/>
        <v>2.3671711459295244</v>
      </c>
      <c r="AR82" s="648">
        <f t="shared" si="31"/>
        <v>2.3621901805042422</v>
      </c>
      <c r="AS82" s="648">
        <f t="shared" si="31"/>
        <v>2.3577331694400336</v>
      </c>
      <c r="AT82" s="648">
        <f t="shared" si="31"/>
        <v>2.3535392695659976</v>
      </c>
      <c r="AU82" s="648">
        <f t="shared" si="31"/>
        <v>2.3492985887050786</v>
      </c>
      <c r="AV82" s="648">
        <f t="shared" si="31"/>
        <v>2.3450943621195313</v>
      </c>
      <c r="AW82" s="648">
        <f t="shared" si="31"/>
        <v>2.3410531549041069</v>
      </c>
      <c r="AX82" s="648">
        <f t="shared" si="31"/>
        <v>2.3369338622038032</v>
      </c>
      <c r="AY82" s="648">
        <f t="shared" si="31"/>
        <v>2.3325588168849727</v>
      </c>
      <c r="AZ82" s="648">
        <f t="shared" si="31"/>
        <v>2.3279574626594757</v>
      </c>
      <c r="BA82" s="648">
        <f t="shared" si="31"/>
        <v>2.323174175750895</v>
      </c>
      <c r="BB82" s="648">
        <f t="shared" si="31"/>
        <v>2.3185048162921329</v>
      </c>
      <c r="BC82" s="648">
        <f t="shared" si="31"/>
        <v>2.3139688113734969</v>
      </c>
      <c r="BD82" s="648">
        <f t="shared" si="31"/>
        <v>2.3094180344655291</v>
      </c>
      <c r="BE82" s="648">
        <f t="shared" si="31"/>
        <v>2.304841088308482</v>
      </c>
      <c r="BF82" s="648">
        <f t="shared" si="31"/>
        <v>2.300227430996292</v>
      </c>
      <c r="BG82" s="648">
        <f t="shared" si="31"/>
        <v>2.2956557765766044</v>
      </c>
      <c r="BH82" s="648">
        <f t="shared" si="31"/>
        <v>2.2910568426752436</v>
      </c>
      <c r="BI82" s="648">
        <f t="shared" si="31"/>
        <v>2.2865430207445079</v>
      </c>
      <c r="BJ82" s="648">
        <f t="shared" si="31"/>
        <v>2.2821886946894065</v>
      </c>
      <c r="BK82" s="648">
        <f t="shared" si="31"/>
        <v>2.2778225462863939</v>
      </c>
      <c r="BL82" s="648">
        <f t="shared" si="31"/>
        <v>2.2736735144898783</v>
      </c>
      <c r="BM82" s="648">
        <f t="shared" si="31"/>
        <v>2.2696530006816795</v>
      </c>
      <c r="BN82" s="648">
        <f t="shared" si="31"/>
        <v>2.2655661932411824</v>
      </c>
      <c r="BO82" s="648">
        <f t="shared" si="31"/>
        <v>2.2614806091918775</v>
      </c>
      <c r="BP82" s="648">
        <f t="shared" si="31"/>
        <v>2.257153439773171</v>
      </c>
      <c r="BQ82" s="648">
        <f t="shared" si="31"/>
        <v>2.2526955432926163</v>
      </c>
      <c r="BR82" s="648">
        <f t="shared" si="31"/>
        <v>2.2481269120292211</v>
      </c>
      <c r="BS82" s="648">
        <f t="shared" si="31"/>
        <v>2.2435836734498911</v>
      </c>
      <c r="BT82" s="648">
        <f t="shared" ref="BT82:CI82" si="32">(BT80+BT79)/(BT66+BT74)</f>
        <v>2.2389909320909043</v>
      </c>
      <c r="BU82" s="648">
        <f t="shared" si="32"/>
        <v>2.2342740558745628</v>
      </c>
      <c r="BV82" s="648">
        <f t="shared" si="32"/>
        <v>2.2294596617249791</v>
      </c>
      <c r="BW82" s="648">
        <f t="shared" si="32"/>
        <v>2.2246192921158503</v>
      </c>
      <c r="BX82" s="648">
        <f t="shared" si="32"/>
        <v>2.2196656672658812</v>
      </c>
      <c r="BY82" s="648">
        <f t="shared" si="32"/>
        <v>2.2145566488890047</v>
      </c>
      <c r="BZ82" s="648">
        <f t="shared" si="32"/>
        <v>2.2091698007946454</v>
      </c>
      <c r="CA82" s="648">
        <f t="shared" si="32"/>
        <v>2.2037057228739156</v>
      </c>
      <c r="CB82" s="648">
        <f t="shared" si="32"/>
        <v>2.1981782115743451</v>
      </c>
      <c r="CC82" s="648">
        <f t="shared" si="32"/>
        <v>2.1927801609914876</v>
      </c>
      <c r="CD82" s="648">
        <f t="shared" si="32"/>
        <v>2.1872940950611017</v>
      </c>
      <c r="CE82" s="648">
        <f t="shared" si="32"/>
        <v>2.1817379844431</v>
      </c>
      <c r="CF82" s="648">
        <f t="shared" si="32"/>
        <v>2.1761771656895159</v>
      </c>
      <c r="CG82" s="648">
        <f t="shared" si="32"/>
        <v>2.1708057893933033</v>
      </c>
      <c r="CH82" s="648">
        <f t="shared" si="32"/>
        <v>2.1655689763767914</v>
      </c>
      <c r="CI82" s="648">
        <f t="shared" si="32"/>
        <v>2.1604074326930029</v>
      </c>
      <c r="CJ82" s="1410"/>
      <c r="CK82" s="605"/>
    </row>
    <row r="83" spans="1:93" s="64" customFormat="1" ht="28" x14ac:dyDescent="0.35">
      <c r="A83" s="58"/>
      <c r="B83" s="688" t="s">
        <v>448</v>
      </c>
      <c r="C83" s="687" t="s">
        <v>449</v>
      </c>
      <c r="D83" s="689" t="s">
        <v>450</v>
      </c>
      <c r="E83" s="685" t="s">
        <v>359</v>
      </c>
      <c r="F83" s="686">
        <v>1</v>
      </c>
      <c r="G83" s="690">
        <f>G66/(G66+G74)</f>
        <v>0.74268333395155595</v>
      </c>
      <c r="H83" s="690">
        <f t="shared" ref="H83:BS83" si="33">H66/(H66+H74)</f>
        <v>0.74652520147082835</v>
      </c>
      <c r="I83" s="690">
        <f t="shared" si="33"/>
        <v>0.74945475145061524</v>
      </c>
      <c r="J83" s="690">
        <f t="shared" si="33"/>
        <v>0.76044376906966205</v>
      </c>
      <c r="K83" s="690">
        <f t="shared" si="33"/>
        <v>0.77032440681530967</v>
      </c>
      <c r="L83" s="690">
        <f t="shared" si="33"/>
        <v>0.77978063886949822</v>
      </c>
      <c r="M83" s="691">
        <f t="shared" si="33"/>
        <v>0.78907487250683828</v>
      </c>
      <c r="N83" s="691">
        <f t="shared" si="33"/>
        <v>0.79718331758114624</v>
      </c>
      <c r="O83" s="691">
        <f t="shared" si="33"/>
        <v>0.80553434909270594</v>
      </c>
      <c r="P83" s="691">
        <f t="shared" si="33"/>
        <v>0.81339857130456961</v>
      </c>
      <c r="Q83" s="691">
        <f t="shared" si="33"/>
        <v>0.82061780331003553</v>
      </c>
      <c r="R83" s="691">
        <f t="shared" si="33"/>
        <v>0.82748711460944802</v>
      </c>
      <c r="S83" s="691">
        <f t="shared" si="33"/>
        <v>0.83376807550541376</v>
      </c>
      <c r="T83" s="691">
        <f t="shared" si="33"/>
        <v>0.83953555112648826</v>
      </c>
      <c r="U83" s="691">
        <f t="shared" si="33"/>
        <v>0.84512328068091747</v>
      </c>
      <c r="V83" s="691">
        <f t="shared" si="33"/>
        <v>0.85053623472177065</v>
      </c>
      <c r="W83" s="691">
        <f t="shared" si="33"/>
        <v>0.85565253447452716</v>
      </c>
      <c r="X83" s="691">
        <f t="shared" si="33"/>
        <v>0.86055480740434487</v>
      </c>
      <c r="Y83" s="691">
        <f t="shared" si="33"/>
        <v>0.86519107802870365</v>
      </c>
      <c r="Z83" s="691">
        <f t="shared" si="33"/>
        <v>0.86965354933432881</v>
      </c>
      <c r="AA83" s="691">
        <f t="shared" si="33"/>
        <v>0.87395168260395772</v>
      </c>
      <c r="AB83" s="691">
        <f t="shared" si="33"/>
        <v>0.87810544088625042</v>
      </c>
      <c r="AC83" s="691">
        <f t="shared" si="33"/>
        <v>0.88207393330804418</v>
      </c>
      <c r="AD83" s="691">
        <f t="shared" si="33"/>
        <v>0.88586855140166287</v>
      </c>
      <c r="AE83" s="691">
        <f t="shared" si="33"/>
        <v>0.88950105696348936</v>
      </c>
      <c r="AF83" s="691">
        <f t="shared" si="33"/>
        <v>0.8929780567846074</v>
      </c>
      <c r="AG83" s="691">
        <f t="shared" si="33"/>
        <v>0.89631049489877679</v>
      </c>
      <c r="AH83" s="691">
        <f t="shared" si="33"/>
        <v>0.89950340586711608</v>
      </c>
      <c r="AI83" s="691">
        <f t="shared" si="33"/>
        <v>0.90256675864609459</v>
      </c>
      <c r="AJ83" s="691">
        <f t="shared" si="33"/>
        <v>0.90550583854987277</v>
      </c>
      <c r="AK83" s="691">
        <f t="shared" si="33"/>
        <v>0.90832669044702086</v>
      </c>
      <c r="AL83" s="691">
        <f t="shared" si="33"/>
        <v>0.91078505089656991</v>
      </c>
      <c r="AM83" s="691">
        <f t="shared" si="33"/>
        <v>0.91316062686405652</v>
      </c>
      <c r="AN83" s="691">
        <f t="shared" si="33"/>
        <v>0.91546703994906153</v>
      </c>
      <c r="AO83" s="691">
        <f t="shared" si="33"/>
        <v>0.91770377158824934</v>
      </c>
      <c r="AP83" s="691">
        <f t="shared" si="33"/>
        <v>0.91988256184756867</v>
      </c>
      <c r="AQ83" s="691">
        <f t="shared" si="33"/>
        <v>0.92200815756437249</v>
      </c>
      <c r="AR83" s="691">
        <f t="shared" si="33"/>
        <v>0.92406988952844926</v>
      </c>
      <c r="AS83" s="691">
        <f t="shared" si="33"/>
        <v>0.92605564072433022</v>
      </c>
      <c r="AT83" s="691">
        <f t="shared" si="33"/>
        <v>0.92797510861962562</v>
      </c>
      <c r="AU83" s="691">
        <f t="shared" si="33"/>
        <v>0.92984272082514763</v>
      </c>
      <c r="AV83" s="691">
        <f t="shared" si="33"/>
        <v>0.93165517024721878</v>
      </c>
      <c r="AW83" s="691">
        <f t="shared" si="33"/>
        <v>0.93341350684995816</v>
      </c>
      <c r="AX83" s="691">
        <f t="shared" si="33"/>
        <v>0.93512566877721104</v>
      </c>
      <c r="AY83" s="691">
        <f t="shared" si="33"/>
        <v>0.93679552305989799</v>
      </c>
      <c r="AZ83" s="691">
        <f t="shared" si="33"/>
        <v>0.93842564134030115</v>
      </c>
      <c r="BA83" s="691">
        <f t="shared" si="33"/>
        <v>0.94001650132088266</v>
      </c>
      <c r="BB83" s="691">
        <f t="shared" si="33"/>
        <v>0.94156398810023045</v>
      </c>
      <c r="BC83" s="691">
        <f t="shared" si="33"/>
        <v>0.94306720659087762</v>
      </c>
      <c r="BD83" s="691">
        <f t="shared" si="33"/>
        <v>0.9445321539173871</v>
      </c>
      <c r="BE83" s="691">
        <f t="shared" si="33"/>
        <v>0.94595917894485582</v>
      </c>
      <c r="BF83" s="691">
        <f t="shared" si="33"/>
        <v>0.94734977485926952</v>
      </c>
      <c r="BG83" s="691">
        <f t="shared" si="33"/>
        <v>0.94870562048395779</v>
      </c>
      <c r="BH83" s="691">
        <f t="shared" si="33"/>
        <v>0.95002802684591459</v>
      </c>
      <c r="BI83" s="691">
        <f t="shared" si="33"/>
        <v>0.95131645733988168</v>
      </c>
      <c r="BJ83" s="691">
        <f t="shared" si="33"/>
        <v>0.95256951562345038</v>
      </c>
      <c r="BK83" s="691">
        <f t="shared" si="33"/>
        <v>0.95379082726708841</v>
      </c>
      <c r="BL83" s="691">
        <f t="shared" si="33"/>
        <v>0.95497810267535832</v>
      </c>
      <c r="BM83" s="691">
        <f t="shared" si="33"/>
        <v>0.9561341336658864</v>
      </c>
      <c r="BN83" s="691">
        <f t="shared" si="33"/>
        <v>0.95726302858320311</v>
      </c>
      <c r="BO83" s="691">
        <f t="shared" si="33"/>
        <v>0.95836400653481169</v>
      </c>
      <c r="BP83" s="691">
        <f t="shared" si="33"/>
        <v>0.95944142882629457</v>
      </c>
      <c r="BQ83" s="691">
        <f t="shared" si="33"/>
        <v>0.96049375366005163</v>
      </c>
      <c r="BR83" s="691">
        <f t="shared" si="33"/>
        <v>0.96152122455159739</v>
      </c>
      <c r="BS83" s="691">
        <f t="shared" si="33"/>
        <v>0.96252123430727121</v>
      </c>
      <c r="BT83" s="691">
        <f t="shared" ref="BT83:CI83" si="34">BT66/(BT66+BT74)</f>
        <v>0.96349579577582722</v>
      </c>
      <c r="BU83" s="691">
        <f t="shared" si="34"/>
        <v>0.96444603410181895</v>
      </c>
      <c r="BV83" s="691">
        <f t="shared" si="34"/>
        <v>0.96537265056627775</v>
      </c>
      <c r="BW83" s="691">
        <f t="shared" si="34"/>
        <v>0.9662739314633032</v>
      </c>
      <c r="BX83" s="691">
        <f t="shared" si="34"/>
        <v>0.96715205217185707</v>
      </c>
      <c r="BY83" s="691">
        <f t="shared" si="34"/>
        <v>0.96800787360264851</v>
      </c>
      <c r="BZ83" s="691">
        <f t="shared" si="34"/>
        <v>0.96884330261624141</v>
      </c>
      <c r="CA83" s="691">
        <f t="shared" si="34"/>
        <v>0.96965628254392644</v>
      </c>
      <c r="CB83" s="691">
        <f t="shared" si="34"/>
        <v>0.97044739227433496</v>
      </c>
      <c r="CC83" s="691">
        <f t="shared" si="34"/>
        <v>0.97121462165140171</v>
      </c>
      <c r="CD83" s="691">
        <f t="shared" si="34"/>
        <v>0.9719612458861302</v>
      </c>
      <c r="CE83" s="691">
        <f t="shared" si="34"/>
        <v>0.9726869870719661</v>
      </c>
      <c r="CF83" s="691">
        <f t="shared" si="34"/>
        <v>0.97339190964607047</v>
      </c>
      <c r="CG83" s="691">
        <f t="shared" si="34"/>
        <v>0.97407471975964466</v>
      </c>
      <c r="CH83" s="691">
        <f t="shared" si="34"/>
        <v>0.97473679689393222</v>
      </c>
      <c r="CI83" s="692">
        <f t="shared" si="34"/>
        <v>0.97537894061140917</v>
      </c>
      <c r="CJ83" s="1410"/>
      <c r="CK83" s="605"/>
    </row>
    <row r="84" spans="1:93" s="64" customFormat="1" ht="28" x14ac:dyDescent="0.35">
      <c r="A84" s="58"/>
      <c r="B84" s="693" t="s">
        <v>451</v>
      </c>
      <c r="C84" s="694" t="s">
        <v>452</v>
      </c>
      <c r="D84" s="695" t="s">
        <v>453</v>
      </c>
      <c r="E84" s="696" t="s">
        <v>359</v>
      </c>
      <c r="F84" s="697">
        <v>1</v>
      </c>
      <c r="G84" s="698">
        <f>(G66)/(G66+G75+G74+G73)</f>
        <v>0.72626103610629478</v>
      </c>
      <c r="H84" s="698">
        <f t="shared" ref="H84:BS84" si="35">(H66)/(H66+H75+H74+H73)</f>
        <v>0.72993445828742831</v>
      </c>
      <c r="I84" s="698">
        <f t="shared" si="35"/>
        <v>0.73291094776671395</v>
      </c>
      <c r="J84" s="698">
        <f t="shared" si="35"/>
        <v>0.74402614907834641</v>
      </c>
      <c r="K84" s="698">
        <f t="shared" si="35"/>
        <v>0.75401469494896367</v>
      </c>
      <c r="L84" s="698">
        <f t="shared" si="35"/>
        <v>0.76358734248049143</v>
      </c>
      <c r="M84" s="698">
        <f t="shared" si="35"/>
        <v>0.77301751753949344</v>
      </c>
      <c r="N84" s="698">
        <f t="shared" si="35"/>
        <v>0.78122379691707733</v>
      </c>
      <c r="O84" s="698">
        <f t="shared" si="35"/>
        <v>0.78971264879923553</v>
      </c>
      <c r="P84" s="698">
        <f t="shared" si="35"/>
        <v>0.79770970839676758</v>
      </c>
      <c r="Q84" s="698">
        <f t="shared" si="35"/>
        <v>0.80504288194294116</v>
      </c>
      <c r="R84" s="698">
        <f t="shared" si="35"/>
        <v>0.81202264557656323</v>
      </c>
      <c r="S84" s="698">
        <f t="shared" si="35"/>
        <v>0.81839084396397554</v>
      </c>
      <c r="T84" s="698">
        <f t="shared" si="35"/>
        <v>0.82422314314193157</v>
      </c>
      <c r="U84" s="698">
        <f t="shared" si="35"/>
        <v>0.82987681285260873</v>
      </c>
      <c r="V84" s="698">
        <f t="shared" si="35"/>
        <v>0.83535778517984915</v>
      </c>
      <c r="W84" s="698">
        <f t="shared" si="35"/>
        <v>0.84053454408865325</v>
      </c>
      <c r="X84" s="698">
        <f t="shared" si="35"/>
        <v>0.84549666985079008</v>
      </c>
      <c r="Y84" s="698">
        <f t="shared" si="35"/>
        <v>0.85018793289632444</v>
      </c>
      <c r="Z84" s="698">
        <f t="shared" si="35"/>
        <v>0.8547074625383162</v>
      </c>
      <c r="AA84" s="698">
        <f t="shared" si="35"/>
        <v>0.85906467231211359</v>
      </c>
      <c r="AB84" s="698">
        <f t="shared" si="35"/>
        <v>0.86328063816498546</v>
      </c>
      <c r="AC84" s="698">
        <f t="shared" si="35"/>
        <v>0.8673093511453438</v>
      </c>
      <c r="AD84" s="698">
        <f t="shared" si="35"/>
        <v>0.87116218234951726</v>
      </c>
      <c r="AE84" s="698">
        <f t="shared" si="35"/>
        <v>0.87485102551138749</v>
      </c>
      <c r="AF84" s="698">
        <f t="shared" si="35"/>
        <v>0.87838213375273799</v>
      </c>
      <c r="AG84" s="698">
        <f t="shared" si="35"/>
        <v>0.88176667211222504</v>
      </c>
      <c r="AH84" s="698">
        <f t="shared" si="35"/>
        <v>0.88500927221275938</v>
      </c>
      <c r="AI84" s="698">
        <f t="shared" si="35"/>
        <v>0.8881201329226921</v>
      </c>
      <c r="AJ84" s="698">
        <f t="shared" si="35"/>
        <v>0.89110436891230116</v>
      </c>
      <c r="AK84" s="698">
        <f t="shared" si="35"/>
        <v>0.89396799772380398</v>
      </c>
      <c r="AL84" s="698">
        <f t="shared" si="35"/>
        <v>0.89643107725881532</v>
      </c>
      <c r="AM84" s="698">
        <f t="shared" si="35"/>
        <v>0.8988103408781295</v>
      </c>
      <c r="AN84" s="698">
        <f t="shared" si="35"/>
        <v>0.90112094879691673</v>
      </c>
      <c r="AO84" s="698">
        <f t="shared" si="35"/>
        <v>0.90336193000157017</v>
      </c>
      <c r="AP84" s="698">
        <f t="shared" si="35"/>
        <v>0.90554650404108172</v>
      </c>
      <c r="AQ84" s="698">
        <f t="shared" si="35"/>
        <v>0.90767993613665043</v>
      </c>
      <c r="AR84" s="698">
        <f t="shared" si="35"/>
        <v>0.90974952260409225</v>
      </c>
      <c r="AS84" s="698">
        <f t="shared" si="35"/>
        <v>0.91174062691561142</v>
      </c>
      <c r="AT84" s="698">
        <f t="shared" si="35"/>
        <v>0.91366408517454334</v>
      </c>
      <c r="AU84" s="698">
        <f t="shared" si="35"/>
        <v>0.91553650516818819</v>
      </c>
      <c r="AV84" s="698">
        <f t="shared" si="35"/>
        <v>0.91735365266137159</v>
      </c>
      <c r="AW84" s="698">
        <f t="shared" si="35"/>
        <v>0.91911641113422848</v>
      </c>
      <c r="AX84" s="698">
        <f t="shared" si="35"/>
        <v>0.92083393896199162</v>
      </c>
      <c r="AY84" s="698">
        <f t="shared" si="35"/>
        <v>0.92251063362409247</v>
      </c>
      <c r="AZ84" s="698">
        <f t="shared" si="35"/>
        <v>0.92414939007080199</v>
      </c>
      <c r="BA84" s="698">
        <f t="shared" si="35"/>
        <v>0.92575059319588615</v>
      </c>
      <c r="BB84" s="698">
        <f t="shared" si="35"/>
        <v>0.92730899586590343</v>
      </c>
      <c r="BC84" s="698">
        <f t="shared" si="35"/>
        <v>0.92882319589347084</v>
      </c>
      <c r="BD84" s="698">
        <f t="shared" si="35"/>
        <v>0.93030027686821093</v>
      </c>
      <c r="BE84" s="698">
        <f t="shared" si="35"/>
        <v>0.93174042733091511</v>
      </c>
      <c r="BF84" s="698">
        <f t="shared" si="35"/>
        <v>0.93314525726644826</v>
      </c>
      <c r="BG84" s="698">
        <f t="shared" si="35"/>
        <v>0.93451663106859173</v>
      </c>
      <c r="BH84" s="698">
        <f t="shared" si="35"/>
        <v>0.93585597560178113</v>
      </c>
      <c r="BI84" s="698">
        <f t="shared" si="35"/>
        <v>0.93716238738081648</v>
      </c>
      <c r="BJ84" s="698">
        <f t="shared" si="35"/>
        <v>0.93843383025941141</v>
      </c>
      <c r="BK84" s="698">
        <f t="shared" si="35"/>
        <v>0.93967466688967149</v>
      </c>
      <c r="BL84" s="698">
        <f t="shared" si="35"/>
        <v>0.94088169591605986</v>
      </c>
      <c r="BM84" s="698">
        <f t="shared" si="35"/>
        <v>0.94205824017305806</v>
      </c>
      <c r="BN84" s="698">
        <f t="shared" si="35"/>
        <v>0.94320941308858997</v>
      </c>
      <c r="BO84" s="698">
        <f t="shared" si="35"/>
        <v>0.94433400030812142</v>
      </c>
      <c r="BP84" s="698">
        <f t="shared" si="35"/>
        <v>0.94543756277385527</v>
      </c>
      <c r="BQ84" s="698">
        <f t="shared" si="35"/>
        <v>0.94651791610214553</v>
      </c>
      <c r="BR84" s="698">
        <f t="shared" si="35"/>
        <v>0.94757520687413888</v>
      </c>
      <c r="BS84" s="698">
        <f t="shared" si="35"/>
        <v>0.94860572225412443</v>
      </c>
      <c r="BT84" s="698">
        <f t="shared" ref="BT84:CI84" si="36">(BT66)/(BT66+BT75+BT74+BT73)</f>
        <v>0.94961192536758543</v>
      </c>
      <c r="BU84" s="698">
        <f t="shared" si="36"/>
        <v>0.95059511806232866</v>
      </c>
      <c r="BV84" s="698">
        <f t="shared" si="36"/>
        <v>0.95155604215128342</v>
      </c>
      <c r="BW84" s="698">
        <f t="shared" si="36"/>
        <v>0.95249209591975237</v>
      </c>
      <c r="BX84" s="698">
        <f t="shared" si="36"/>
        <v>0.9534060320550054</v>
      </c>
      <c r="BY84" s="698">
        <f t="shared" si="36"/>
        <v>0.95429881928338789</v>
      </c>
      <c r="BZ84" s="698">
        <f t="shared" si="36"/>
        <v>0.95517292746092264</v>
      </c>
      <c r="CA84" s="698">
        <f t="shared" si="36"/>
        <v>0.95602522526884881</v>
      </c>
      <c r="CB84" s="698">
        <f t="shared" si="36"/>
        <v>0.95685627264049034</v>
      </c>
      <c r="CC84" s="698">
        <f t="shared" si="36"/>
        <v>0.95766288120115162</v>
      </c>
      <c r="CD84" s="698">
        <f t="shared" si="36"/>
        <v>0.95844947894583554</v>
      </c>
      <c r="CE84" s="698">
        <f t="shared" si="36"/>
        <v>0.95921538743591461</v>
      </c>
      <c r="CF84" s="698">
        <f t="shared" si="36"/>
        <v>0.95996040552854189</v>
      </c>
      <c r="CG84" s="698">
        <f t="shared" si="36"/>
        <v>0.96068228447885284</v>
      </c>
      <c r="CH84" s="698">
        <f t="shared" si="36"/>
        <v>0.96138272477132181</v>
      </c>
      <c r="CI84" s="698">
        <f t="shared" si="36"/>
        <v>0.96206259072447353</v>
      </c>
      <c r="CJ84" s="1410"/>
      <c r="CK84" s="605"/>
    </row>
    <row r="85" spans="1:93" s="64" customFormat="1" ht="28.5" thickBot="1" x14ac:dyDescent="0.4">
      <c r="A85" s="58"/>
      <c r="B85" s="699" t="s">
        <v>454</v>
      </c>
      <c r="C85" s="700" t="s">
        <v>455</v>
      </c>
      <c r="D85" s="700" t="s">
        <v>456</v>
      </c>
      <c r="E85" s="700" t="s">
        <v>305</v>
      </c>
      <c r="F85" s="701">
        <v>2</v>
      </c>
      <c r="G85" s="702">
        <f>SUM(G45:G47)+G43+G54+G59+G60+G53</f>
        <v>87.984627709999998</v>
      </c>
      <c r="H85" s="702">
        <f t="shared" ref="H85:BS85" si="37">SUM(H45:H47)+H43+H54+H59+H60+H53</f>
        <v>85.58818740000001</v>
      </c>
      <c r="I85" s="702">
        <f t="shared" si="37"/>
        <v>85.279863060000011</v>
      </c>
      <c r="J85" s="702">
        <f t="shared" si="37"/>
        <v>85.199520669999998</v>
      </c>
      <c r="K85" s="702">
        <f t="shared" si="37"/>
        <v>85.310098790000012</v>
      </c>
      <c r="L85" s="702">
        <f t="shared" si="37"/>
        <v>86.76977706000001</v>
      </c>
      <c r="M85" s="702">
        <f t="shared" si="37"/>
        <v>88.028121169999991</v>
      </c>
      <c r="N85" s="702">
        <f t="shared" si="37"/>
        <v>89.451262249999999</v>
      </c>
      <c r="O85" s="702">
        <f t="shared" si="37"/>
        <v>90.84962745</v>
      </c>
      <c r="P85" s="702">
        <f t="shared" si="37"/>
        <v>92.103526390000013</v>
      </c>
      <c r="Q85" s="702">
        <f t="shared" si="37"/>
        <v>93.204895900000011</v>
      </c>
      <c r="R85" s="702">
        <f t="shared" si="37"/>
        <v>94.180420389999995</v>
      </c>
      <c r="S85" s="702">
        <f t="shared" si="37"/>
        <v>94.998310879999991</v>
      </c>
      <c r="T85" s="702">
        <f t="shared" si="37"/>
        <v>95.79084331</v>
      </c>
      <c r="U85" s="702">
        <f t="shared" si="37"/>
        <v>96.643071910000003</v>
      </c>
      <c r="V85" s="702">
        <f t="shared" si="37"/>
        <v>97.390270020000003</v>
      </c>
      <c r="W85" s="702">
        <f t="shared" si="37"/>
        <v>98.121555880000003</v>
      </c>
      <c r="X85" s="702">
        <f t="shared" si="37"/>
        <v>98.833767390000006</v>
      </c>
      <c r="Y85" s="702">
        <f t="shared" si="37"/>
        <v>99.539116239999998</v>
      </c>
      <c r="Z85" s="702">
        <f t="shared" si="37"/>
        <v>100.18544556000001</v>
      </c>
      <c r="AA85" s="702">
        <f t="shared" si="37"/>
        <v>100.480638777</v>
      </c>
      <c r="AB85" s="702">
        <f t="shared" si="37"/>
        <v>100.766955221</v>
      </c>
      <c r="AC85" s="702">
        <f t="shared" si="37"/>
        <v>101.04331469300001</v>
      </c>
      <c r="AD85" s="702">
        <f t="shared" si="37"/>
        <v>101.31361116299999</v>
      </c>
      <c r="AE85" s="702">
        <f t="shared" si="37"/>
        <v>101.569209957</v>
      </c>
      <c r="AF85" s="702">
        <f t="shared" si="37"/>
        <v>101.80505833500001</v>
      </c>
      <c r="AG85" s="702">
        <f t="shared" si="37"/>
        <v>102.025737342</v>
      </c>
      <c r="AH85" s="702">
        <f t="shared" si="37"/>
        <v>102.23883023800001</v>
      </c>
      <c r="AI85" s="702">
        <f t="shared" si="37"/>
        <v>102.44032577199999</v>
      </c>
      <c r="AJ85" s="702">
        <f t="shared" si="37"/>
        <v>102.625574034</v>
      </c>
      <c r="AK85" s="702">
        <f t="shared" si="37"/>
        <v>102.743348387</v>
      </c>
      <c r="AL85" s="702">
        <f t="shared" si="37"/>
        <v>102.85780364500002</v>
      </c>
      <c r="AM85" s="702">
        <f t="shared" si="37"/>
        <v>102.971738723</v>
      </c>
      <c r="AN85" s="702">
        <f t="shared" si="37"/>
        <v>103.08300325499999</v>
      </c>
      <c r="AO85" s="702">
        <f t="shared" si="37"/>
        <v>103.19565122500001</v>
      </c>
      <c r="AP85" s="702">
        <f t="shared" si="37"/>
        <v>103.30845836200001</v>
      </c>
      <c r="AQ85" s="702">
        <f t="shared" si="37"/>
        <v>103.421199352</v>
      </c>
      <c r="AR85" s="702">
        <f t="shared" si="37"/>
        <v>103.52810689</v>
      </c>
      <c r="AS85" s="702">
        <f t="shared" si="37"/>
        <v>103.63038352800001</v>
      </c>
      <c r="AT85" s="702">
        <f t="shared" si="37"/>
        <v>103.73279084800001</v>
      </c>
      <c r="AU85" s="702">
        <f t="shared" si="37"/>
        <v>103.832749691</v>
      </c>
      <c r="AV85" s="702">
        <f t="shared" si="37"/>
        <v>103.93152597700001</v>
      </c>
      <c r="AW85" s="702">
        <f t="shared" si="37"/>
        <v>104.030729167</v>
      </c>
      <c r="AX85" s="702">
        <f t="shared" si="37"/>
        <v>104.130000456</v>
      </c>
      <c r="AY85" s="702">
        <f t="shared" si="37"/>
        <v>104.231154449</v>
      </c>
      <c r="AZ85" s="702">
        <f t="shared" si="37"/>
        <v>104.33449645100001</v>
      </c>
      <c r="BA85" s="702">
        <f t="shared" si="37"/>
        <v>104.43978229000001</v>
      </c>
      <c r="BB85" s="702">
        <f t="shared" si="37"/>
        <v>104.545279476</v>
      </c>
      <c r="BC85" s="702">
        <f t="shared" si="37"/>
        <v>104.65337274500001</v>
      </c>
      <c r="BD85" s="702">
        <f t="shared" si="37"/>
        <v>104.763283763</v>
      </c>
      <c r="BE85" s="702">
        <f t="shared" si="37"/>
        <v>104.875400939</v>
      </c>
      <c r="BF85" s="702">
        <f t="shared" si="37"/>
        <v>104.991767615</v>
      </c>
      <c r="BG85" s="702">
        <f t="shared" si="37"/>
        <v>105.111878023</v>
      </c>
      <c r="BH85" s="702">
        <f t="shared" si="37"/>
        <v>105.23599921100001</v>
      </c>
      <c r="BI85" s="702">
        <f t="shared" si="37"/>
        <v>105.36268576100001</v>
      </c>
      <c r="BJ85" s="702">
        <f t="shared" si="37"/>
        <v>105.492449138</v>
      </c>
      <c r="BK85" s="702">
        <f t="shared" si="37"/>
        <v>105.625106207</v>
      </c>
      <c r="BL85" s="702">
        <f t="shared" si="37"/>
        <v>105.761594344</v>
      </c>
      <c r="BM85" s="702">
        <f t="shared" si="37"/>
        <v>105.90316446400001</v>
      </c>
      <c r="BN85" s="702">
        <f t="shared" si="37"/>
        <v>106.049124996</v>
      </c>
      <c r="BO85" s="702">
        <f t="shared" si="37"/>
        <v>106.200768813</v>
      </c>
      <c r="BP85" s="702">
        <f t="shared" si="37"/>
        <v>106.35720240400002</v>
      </c>
      <c r="BQ85" s="702">
        <f t="shared" si="37"/>
        <v>106.51840619399999</v>
      </c>
      <c r="BR85" s="702">
        <f t="shared" si="37"/>
        <v>106.681929466</v>
      </c>
      <c r="BS85" s="702">
        <f t="shared" si="37"/>
        <v>106.84855499</v>
      </c>
      <c r="BT85" s="702">
        <f t="shared" ref="BT85:CI85" si="38">SUM(BT45:BT47)+BT43+BT54+BT59+BT60+BT53</f>
        <v>107.017891558</v>
      </c>
      <c r="BU85" s="702">
        <f t="shared" si="38"/>
        <v>107.190610925</v>
      </c>
      <c r="BV85" s="702">
        <f t="shared" si="38"/>
        <v>107.36411277300002</v>
      </c>
      <c r="BW85" s="702">
        <f t="shared" si="38"/>
        <v>107.53950608700001</v>
      </c>
      <c r="BX85" s="702">
        <f t="shared" si="38"/>
        <v>107.71660801100001</v>
      </c>
      <c r="BY85" s="702">
        <f t="shared" si="38"/>
        <v>107.895873998</v>
      </c>
      <c r="BZ85" s="702">
        <f t="shared" si="38"/>
        <v>108.076001792</v>
      </c>
      <c r="CA85" s="702">
        <f t="shared" si="38"/>
        <v>108.25718277199999</v>
      </c>
      <c r="CB85" s="702">
        <f t="shared" si="38"/>
        <v>108.437527977</v>
      </c>
      <c r="CC85" s="702">
        <f t="shared" si="38"/>
        <v>108.61847019200002</v>
      </c>
      <c r="CD85" s="702">
        <f t="shared" si="38"/>
        <v>108.79855862799999</v>
      </c>
      <c r="CE85" s="702">
        <f t="shared" si="38"/>
        <v>108.977751955</v>
      </c>
      <c r="CF85" s="702">
        <f t="shared" si="38"/>
        <v>109.155158567</v>
      </c>
      <c r="CG85" s="702">
        <f t="shared" si="38"/>
        <v>109.331290709</v>
      </c>
      <c r="CH85" s="702">
        <f t="shared" si="38"/>
        <v>109.428455767</v>
      </c>
      <c r="CI85" s="702">
        <f t="shared" si="38"/>
        <v>113.588455767</v>
      </c>
      <c r="CJ85" s="1410"/>
      <c r="CK85" s="605"/>
    </row>
    <row r="86" spans="1:93" s="64" customFormat="1" ht="28" x14ac:dyDescent="0.35">
      <c r="A86" s="58"/>
      <c r="B86" s="703" t="s">
        <v>457</v>
      </c>
      <c r="C86" s="704" t="s">
        <v>458</v>
      </c>
      <c r="D86" s="599" t="s">
        <v>82</v>
      </c>
      <c r="E86" s="704" t="s">
        <v>305</v>
      </c>
      <c r="F86" s="705">
        <v>2</v>
      </c>
      <c r="G86" s="706"/>
      <c r="H86" s="706"/>
      <c r="I86" s="706">
        <v>1.0098723791067831E-2</v>
      </c>
      <c r="J86" s="706">
        <v>1.5197480281696416E-2</v>
      </c>
      <c r="K86" s="706">
        <v>1.8357581218965191E-2</v>
      </c>
      <c r="L86" s="706">
        <v>2.2390887669897202E-2</v>
      </c>
      <c r="M86" s="707">
        <v>2.8660284796768794E-2</v>
      </c>
      <c r="N86" s="707">
        <v>3.0651482062883692E-2</v>
      </c>
      <c r="O86" s="707">
        <v>3.6472316100500703E-2</v>
      </c>
      <c r="P86" s="707">
        <v>4.0925441110621463E-2</v>
      </c>
      <c r="Q86" s="707">
        <v>2.8588580023624487E-2</v>
      </c>
      <c r="R86" s="707">
        <v>3.1046728128854596E-2</v>
      </c>
      <c r="S86" s="707">
        <v>3.4664792886585111E-2</v>
      </c>
      <c r="T86" s="707">
        <v>3.7596264429767046E-2</v>
      </c>
      <c r="U86" s="707">
        <v>4.2153891770570093E-2</v>
      </c>
      <c r="V86" s="707">
        <v>2.2654402287631388E-2</v>
      </c>
      <c r="W86" s="707">
        <v>2.3199701046453594E-2</v>
      </c>
      <c r="X86" s="707">
        <v>2.6902140501692637E-2</v>
      </c>
      <c r="Y86" s="707">
        <v>2.8631681915913323E-2</v>
      </c>
      <c r="Z86" s="707">
        <v>3.1950339660813384E-2</v>
      </c>
      <c r="AA86" s="707">
        <v>3.2142193026580633E-2</v>
      </c>
      <c r="AB86" s="707">
        <v>3.1442256617404282E-2</v>
      </c>
      <c r="AC86" s="707">
        <v>3.4249916040554329E-2</v>
      </c>
      <c r="AD86" s="707">
        <v>3.8713831260321303E-2</v>
      </c>
      <c r="AE86" s="707">
        <v>3.7563273420069543E-2</v>
      </c>
      <c r="AF86" s="707">
        <v>3.9871493593556073E-2</v>
      </c>
      <c r="AG86" s="707">
        <v>4.4836374445151567E-2</v>
      </c>
      <c r="AH86" s="707">
        <v>4.3174882418258981E-2</v>
      </c>
      <c r="AI86" s="707">
        <v>4.6218010354299843E-2</v>
      </c>
      <c r="AJ86" s="707">
        <v>4.6498139351256455E-2</v>
      </c>
      <c r="AK86" s="707">
        <v>4.7713040634896668E-2</v>
      </c>
      <c r="AL86" s="707">
        <v>5.01701387354705E-2</v>
      </c>
      <c r="AM86" s="707">
        <v>5.0429174993867357E-2</v>
      </c>
      <c r="AN86" s="707">
        <v>5.6227197856854913E-2</v>
      </c>
      <c r="AO86" s="707">
        <v>5.5064875354079307E-2</v>
      </c>
      <c r="AP86" s="707">
        <v>5.4908553827693857E-2</v>
      </c>
      <c r="AQ86" s="707">
        <v>5.7212819953254779E-2</v>
      </c>
      <c r="AR86" s="707">
        <v>5.3974272084321977E-2</v>
      </c>
      <c r="AS86" s="707">
        <v>5.5861660967742491E-2</v>
      </c>
      <c r="AT86" s="707">
        <v>5.5438856739087064E-2</v>
      </c>
      <c r="AU86" s="707">
        <v>5.2307833711372383E-2</v>
      </c>
      <c r="AV86" s="707">
        <v>5.3296825880905327E-2</v>
      </c>
      <c r="AW86" s="707">
        <v>5.0057192919863831E-2</v>
      </c>
      <c r="AX86" s="707">
        <v>5.8481801232591196E-2</v>
      </c>
      <c r="AY86" s="707">
        <v>5.4634464935357133E-2</v>
      </c>
      <c r="AZ86" s="707">
        <v>5.6089775885551266E-2</v>
      </c>
      <c r="BA86" s="707">
        <v>5.5043045023898354E-2</v>
      </c>
      <c r="BB86" s="707">
        <v>5.4916603742700687E-2</v>
      </c>
      <c r="BC86" s="707">
        <v>5.2959729611803688E-2</v>
      </c>
      <c r="BD86" s="707">
        <v>4.7491216060424883E-2</v>
      </c>
      <c r="BE86" s="707">
        <v>5.1851297831964918E-2</v>
      </c>
      <c r="BF86" s="707">
        <v>5.0714462171634112E-2</v>
      </c>
      <c r="BG86" s="707">
        <v>4.4092450454512419E-2</v>
      </c>
      <c r="BH86" s="707">
        <v>3.8641488948764631E-2</v>
      </c>
      <c r="BI86" s="707">
        <v>3.4874917495366899E-2</v>
      </c>
      <c r="BJ86" s="707">
        <v>6.356014330877445E-2</v>
      </c>
      <c r="BK86" s="707">
        <v>4.5197333152872263E-2</v>
      </c>
      <c r="BL86" s="707">
        <v>4.4947398556642204E-2</v>
      </c>
      <c r="BM86" s="707">
        <v>3.9920790490719948E-2</v>
      </c>
      <c r="BN86" s="707">
        <v>5.2817380247511481E-2</v>
      </c>
      <c r="BO86" s="707">
        <v>4.4452531236180787E-2</v>
      </c>
      <c r="BP86" s="707">
        <v>3.0627037301053678E-2</v>
      </c>
      <c r="BQ86" s="707">
        <v>3.7236588959881266E-2</v>
      </c>
      <c r="BR86" s="707">
        <v>4.0377755352141095E-2</v>
      </c>
      <c r="BS86" s="707">
        <v>4.8819857265500949E-2</v>
      </c>
      <c r="BT86" s="707">
        <v>3.3543195523116381E-2</v>
      </c>
      <c r="BU86" s="707">
        <v>3.5725864845245585E-2</v>
      </c>
      <c r="BV86" s="707">
        <v>2.070198655217248E-2</v>
      </c>
      <c r="BW86" s="707">
        <v>2.8658765979129169E-2</v>
      </c>
      <c r="BX86" s="707">
        <v>3.0798155437138253E-2</v>
      </c>
      <c r="BY86" s="707">
        <v>3.6842987618845024E-2</v>
      </c>
      <c r="BZ86" s="707">
        <v>4.5486618731637583E-2</v>
      </c>
      <c r="CA86" s="707">
        <v>3.4479566072420947E-2</v>
      </c>
      <c r="CB86" s="707">
        <v>2.4831096092764723E-2</v>
      </c>
      <c r="CC86" s="707">
        <v>3.3716233121281788E-2</v>
      </c>
      <c r="CD86" s="707">
        <v>2.0023702277736762E-2</v>
      </c>
      <c r="CE86" s="707">
        <v>2.2230393234219312E-2</v>
      </c>
      <c r="CF86" s="707">
        <v>1.1101892767330481E-2</v>
      </c>
      <c r="CG86" s="707">
        <v>2.1497687614943001E-2</v>
      </c>
      <c r="CH86" s="707">
        <v>2.1029285450550383E-2</v>
      </c>
      <c r="CI86" s="708">
        <v>1.7137238820704219E-2</v>
      </c>
      <c r="CJ86" s="1410">
        <v>0.33500073237974043</v>
      </c>
    </row>
    <row r="87" spans="1:93" s="64" customFormat="1" x14ac:dyDescent="0.35">
      <c r="A87" s="58"/>
      <c r="B87" s="709" t="s">
        <v>459</v>
      </c>
      <c r="C87" s="710" t="s">
        <v>460</v>
      </c>
      <c r="D87" s="608" t="s">
        <v>82</v>
      </c>
      <c r="E87" s="710" t="s">
        <v>305</v>
      </c>
      <c r="F87" s="711">
        <v>2</v>
      </c>
      <c r="G87" s="712"/>
      <c r="H87" s="712"/>
      <c r="I87" s="712">
        <v>2.9656609864500525</v>
      </c>
      <c r="J87" s="712">
        <v>3.3424980351637936</v>
      </c>
      <c r="K87" s="712">
        <v>2.8390503220749146</v>
      </c>
      <c r="L87" s="712">
        <v>3.0145653543104629</v>
      </c>
      <c r="M87" s="713">
        <v>3.2297491150735711</v>
      </c>
      <c r="N87" s="713">
        <v>3.0900615852272963</v>
      </c>
      <c r="O87" s="713">
        <v>3.3510413141600295</v>
      </c>
      <c r="P87" s="713">
        <v>3.2647073715252684</v>
      </c>
      <c r="Q87" s="713">
        <v>2.1878443457885659</v>
      </c>
      <c r="R87" s="713">
        <v>2.1858124979143456</v>
      </c>
      <c r="S87" s="713">
        <v>2.3539102975373249</v>
      </c>
      <c r="T87" s="713">
        <v>2.351305501627913</v>
      </c>
      <c r="U87" s="713">
        <v>2.5384160242976197</v>
      </c>
      <c r="V87" s="713">
        <v>1.2620518889420786</v>
      </c>
      <c r="W87" s="713">
        <v>1.2245033560770364</v>
      </c>
      <c r="X87" s="713">
        <v>1.3330348995360273</v>
      </c>
      <c r="Y87" s="713">
        <v>1.4112077799271165</v>
      </c>
      <c r="Z87" s="713">
        <v>1.4775348181683565</v>
      </c>
      <c r="AA87" s="713">
        <v>1.4272909755762293</v>
      </c>
      <c r="AB87" s="713">
        <v>1.3239522491056559</v>
      </c>
      <c r="AC87" s="713">
        <v>1.4001141480049757</v>
      </c>
      <c r="AD87" s="713">
        <v>1.5270764930659289</v>
      </c>
      <c r="AE87" s="713">
        <v>1.4850143363951804</v>
      </c>
      <c r="AF87" s="713">
        <v>1.507172703073784</v>
      </c>
      <c r="AG87" s="713">
        <v>1.6018585583399783</v>
      </c>
      <c r="AH87" s="713">
        <v>1.5134910568535112</v>
      </c>
      <c r="AI87" s="713">
        <v>1.50601099426351</v>
      </c>
      <c r="AJ87" s="713">
        <v>1.5402846410973035</v>
      </c>
      <c r="AK87" s="713">
        <v>1.5190183444335834</v>
      </c>
      <c r="AL87" s="713">
        <v>1.5733349372027194</v>
      </c>
      <c r="AM87" s="713">
        <v>1.5428940742896826</v>
      </c>
      <c r="AN87" s="713">
        <v>1.6324400002421551</v>
      </c>
      <c r="AO87" s="713">
        <v>1.5532672940263108</v>
      </c>
      <c r="AP87" s="713">
        <v>1.4447603374892262</v>
      </c>
      <c r="AQ87" s="713">
        <v>1.5015705064845952</v>
      </c>
      <c r="AR87" s="713">
        <v>1.4148842973293281</v>
      </c>
      <c r="AS87" s="713">
        <v>1.3931514437100676</v>
      </c>
      <c r="AT87" s="713">
        <v>1.3127404700378029</v>
      </c>
      <c r="AU87" s="713">
        <v>1.2354801975789775</v>
      </c>
      <c r="AV87" s="713">
        <v>1.2569964651039949</v>
      </c>
      <c r="AW87" s="713">
        <v>1.0834909466864662</v>
      </c>
      <c r="AX87" s="713">
        <v>1.2523165769067588</v>
      </c>
      <c r="AY87" s="713">
        <v>1.1898696100967827</v>
      </c>
      <c r="AZ87" s="713">
        <v>1.1524848509784889</v>
      </c>
      <c r="BA87" s="713">
        <v>1.1151960732763218</v>
      </c>
      <c r="BB87" s="713">
        <v>1.0349880106796192</v>
      </c>
      <c r="BC87" s="713">
        <v>0.99182634183702623</v>
      </c>
      <c r="BD87" s="713">
        <v>0.86600657933038216</v>
      </c>
      <c r="BE87" s="713">
        <v>0.99275750893090509</v>
      </c>
      <c r="BF87" s="713">
        <v>0.88508311989494493</v>
      </c>
      <c r="BG87" s="713">
        <v>0.75809217805799467</v>
      </c>
      <c r="BH87" s="713">
        <v>0.63404692543684538</v>
      </c>
      <c r="BI87" s="713">
        <v>0.56656273922179012</v>
      </c>
      <c r="BJ87" s="713">
        <v>1.0758292797152555</v>
      </c>
      <c r="BK87" s="713">
        <v>0.75425977482120576</v>
      </c>
      <c r="BL87" s="713">
        <v>0.71747376975070376</v>
      </c>
      <c r="BM87" s="713">
        <v>0.63037597365757703</v>
      </c>
      <c r="BN87" s="713">
        <v>0.80077274271992449</v>
      </c>
      <c r="BO87" s="713">
        <v>0.65864805488107825</v>
      </c>
      <c r="BP87" s="713">
        <v>0.45934861853830233</v>
      </c>
      <c r="BQ87" s="713">
        <v>0.53521991398250379</v>
      </c>
      <c r="BR87" s="713">
        <v>0.57216495124618694</v>
      </c>
      <c r="BS87" s="713">
        <v>0.68408360483941999</v>
      </c>
      <c r="BT87" s="713">
        <v>0.47080489995071462</v>
      </c>
      <c r="BU87" s="713">
        <v>0.48146594606194842</v>
      </c>
      <c r="BV87" s="713">
        <v>0.26189653992026751</v>
      </c>
      <c r="BW87" s="713">
        <v>0.3729623579241288</v>
      </c>
      <c r="BX87" s="713">
        <v>0.39593517338400075</v>
      </c>
      <c r="BY87" s="713">
        <v>0.46665008671009695</v>
      </c>
      <c r="BZ87" s="713">
        <v>0.5837579736683064</v>
      </c>
      <c r="CA87" s="713">
        <v>0.43692241826803302</v>
      </c>
      <c r="CB87" s="713">
        <v>0.29484862453247324</v>
      </c>
      <c r="CC87" s="713">
        <v>0.41138902570691721</v>
      </c>
      <c r="CD87" s="713">
        <v>0.23584638111026424</v>
      </c>
      <c r="CE87" s="713">
        <v>0.26069641928118065</v>
      </c>
      <c r="CF87" s="713">
        <v>0.12719145428961953</v>
      </c>
      <c r="CG87" s="713">
        <v>0.25791189551602201</v>
      </c>
      <c r="CH87" s="713">
        <v>0.24458903806529264</v>
      </c>
      <c r="CI87" s="713">
        <v>0.19659134149337978</v>
      </c>
      <c r="CJ87" s="1410">
        <v>1.8153888347013396</v>
      </c>
    </row>
    <row r="88" spans="1:93" s="1621" customFormat="1" x14ac:dyDescent="0.35">
      <c r="A88" s="1618"/>
      <c r="B88" s="709" t="s">
        <v>461</v>
      </c>
      <c r="C88" s="710" t="s">
        <v>462</v>
      </c>
      <c r="D88" s="608" t="s">
        <v>463</v>
      </c>
      <c r="E88" s="710" t="s">
        <v>305</v>
      </c>
      <c r="F88" s="711">
        <v>2</v>
      </c>
      <c r="G88" s="715"/>
      <c r="H88" s="715"/>
      <c r="I88" s="715">
        <f t="shared" ref="I88:BT88" si="39">I86+I87</f>
        <v>2.9757597102411202</v>
      </c>
      <c r="J88" s="715">
        <f t="shared" si="39"/>
        <v>3.3576955154454899</v>
      </c>
      <c r="K88" s="715">
        <f t="shared" si="39"/>
        <v>2.8574079032938799</v>
      </c>
      <c r="L88" s="715">
        <f t="shared" si="39"/>
        <v>3.0369562419803602</v>
      </c>
      <c r="M88" s="715">
        <f t="shared" si="39"/>
        <v>3.2584093998703398</v>
      </c>
      <c r="N88" s="715">
        <f t="shared" si="39"/>
        <v>3.1207130672901799</v>
      </c>
      <c r="O88" s="715">
        <f t="shared" si="39"/>
        <v>3.3875136302605302</v>
      </c>
      <c r="P88" s="715">
        <f t="shared" si="39"/>
        <v>3.3056328126358898</v>
      </c>
      <c r="Q88" s="715">
        <f t="shared" si="39"/>
        <v>2.2164329258121902</v>
      </c>
      <c r="R88" s="715">
        <f t="shared" si="39"/>
        <v>2.2168592260432001</v>
      </c>
      <c r="S88" s="715">
        <f t="shared" si="39"/>
        <v>2.38857509042391</v>
      </c>
      <c r="T88" s="715">
        <f t="shared" si="39"/>
        <v>2.3889017660576801</v>
      </c>
      <c r="U88" s="715">
        <f t="shared" si="39"/>
        <v>2.5805699160681899</v>
      </c>
      <c r="V88" s="715">
        <f t="shared" si="39"/>
        <v>1.28470629122971</v>
      </c>
      <c r="W88" s="715">
        <f t="shared" si="39"/>
        <v>1.2477030571234899</v>
      </c>
      <c r="X88" s="715">
        <f t="shared" si="39"/>
        <v>1.35993704003772</v>
      </c>
      <c r="Y88" s="715">
        <f t="shared" si="39"/>
        <v>1.4398394618430299</v>
      </c>
      <c r="Z88" s="715">
        <f t="shared" si="39"/>
        <v>1.5094851578291699</v>
      </c>
      <c r="AA88" s="715">
        <f t="shared" si="39"/>
        <v>1.4594331686028099</v>
      </c>
      <c r="AB88" s="715">
        <f t="shared" si="39"/>
        <v>1.3553945057230601</v>
      </c>
      <c r="AC88" s="715">
        <f t="shared" si="39"/>
        <v>1.43436406404553</v>
      </c>
      <c r="AD88" s="715">
        <f t="shared" si="39"/>
        <v>1.5657903243262501</v>
      </c>
      <c r="AE88" s="715">
        <f t="shared" si="39"/>
        <v>1.5225776098152499</v>
      </c>
      <c r="AF88" s="715">
        <f t="shared" si="39"/>
        <v>1.5470441966673401</v>
      </c>
      <c r="AG88" s="715">
        <f t="shared" si="39"/>
        <v>1.6466949327851299</v>
      </c>
      <c r="AH88" s="715">
        <f t="shared" si="39"/>
        <v>1.5566659392717701</v>
      </c>
      <c r="AI88" s="715">
        <f t="shared" si="39"/>
        <v>1.5522290046178098</v>
      </c>
      <c r="AJ88" s="715">
        <f t="shared" si="39"/>
        <v>1.5867827804485599</v>
      </c>
      <c r="AK88" s="715">
        <f t="shared" si="39"/>
        <v>1.5667313850684801</v>
      </c>
      <c r="AL88" s="715">
        <f t="shared" si="39"/>
        <v>1.6235050759381899</v>
      </c>
      <c r="AM88" s="715">
        <f t="shared" si="39"/>
        <v>1.5933232492835501</v>
      </c>
      <c r="AN88" s="715">
        <f t="shared" si="39"/>
        <v>1.68866719809901</v>
      </c>
      <c r="AO88" s="715">
        <f t="shared" si="39"/>
        <v>1.60833216938039</v>
      </c>
      <c r="AP88" s="715">
        <f t="shared" si="39"/>
        <v>1.49966889131692</v>
      </c>
      <c r="AQ88" s="715">
        <f t="shared" si="39"/>
        <v>1.5587833264378501</v>
      </c>
      <c r="AR88" s="715">
        <f t="shared" si="39"/>
        <v>1.46885856941365</v>
      </c>
      <c r="AS88" s="715">
        <f t="shared" si="39"/>
        <v>1.4490131046778101</v>
      </c>
      <c r="AT88" s="715">
        <f t="shared" si="39"/>
        <v>1.36817932677689</v>
      </c>
      <c r="AU88" s="715">
        <f t="shared" si="39"/>
        <v>1.28778803129035</v>
      </c>
      <c r="AV88" s="715">
        <f t="shared" si="39"/>
        <v>1.3102932909849001</v>
      </c>
      <c r="AW88" s="715">
        <f t="shared" si="39"/>
        <v>1.1335481396063301</v>
      </c>
      <c r="AX88" s="715">
        <f t="shared" si="39"/>
        <v>1.31079837813935</v>
      </c>
      <c r="AY88" s="715">
        <f t="shared" si="39"/>
        <v>1.2445040750321399</v>
      </c>
      <c r="AZ88" s="715">
        <f t="shared" si="39"/>
        <v>1.20857462686404</v>
      </c>
      <c r="BA88" s="715">
        <f t="shared" si="39"/>
        <v>1.1702391183002201</v>
      </c>
      <c r="BB88" s="715">
        <f t="shared" si="39"/>
        <v>1.0899046144223199</v>
      </c>
      <c r="BC88" s="715">
        <f t="shared" si="39"/>
        <v>1.04478607144883</v>
      </c>
      <c r="BD88" s="715">
        <f t="shared" si="39"/>
        <v>0.913497795390807</v>
      </c>
      <c r="BE88" s="715">
        <f t="shared" si="39"/>
        <v>1.04460880676287</v>
      </c>
      <c r="BF88" s="715">
        <f t="shared" si="39"/>
        <v>0.93579758206657904</v>
      </c>
      <c r="BG88" s="715">
        <f t="shared" si="39"/>
        <v>0.80218462851250705</v>
      </c>
      <c r="BH88" s="715">
        <f t="shared" si="39"/>
        <v>0.67268841438561</v>
      </c>
      <c r="BI88" s="715">
        <f t="shared" si="39"/>
        <v>0.60143765671715699</v>
      </c>
      <c r="BJ88" s="715">
        <f t="shared" si="39"/>
        <v>1.13938942302403</v>
      </c>
      <c r="BK88" s="715">
        <f t="shared" si="39"/>
        <v>0.79945710797407799</v>
      </c>
      <c r="BL88" s="715">
        <f t="shared" si="39"/>
        <v>0.76242116830734596</v>
      </c>
      <c r="BM88" s="715">
        <f t="shared" si="39"/>
        <v>0.67029676414829698</v>
      </c>
      <c r="BN88" s="715">
        <f t="shared" si="39"/>
        <v>0.85359012296743597</v>
      </c>
      <c r="BO88" s="715">
        <f t="shared" si="39"/>
        <v>0.70310058611725901</v>
      </c>
      <c r="BP88" s="715">
        <f t="shared" si="39"/>
        <v>0.48997565583935598</v>
      </c>
      <c r="BQ88" s="715">
        <f t="shared" si="39"/>
        <v>0.57245650294238504</v>
      </c>
      <c r="BR88" s="715">
        <f t="shared" si="39"/>
        <v>0.61254270659832799</v>
      </c>
      <c r="BS88" s="715">
        <f t="shared" si="39"/>
        <v>0.73290346210492097</v>
      </c>
      <c r="BT88" s="715">
        <f t="shared" si="39"/>
        <v>0.50434809547383097</v>
      </c>
      <c r="BU88" s="715">
        <f t="shared" ref="BU88:CI88" si="40">BU86+BU87</f>
        <v>0.51719181090719402</v>
      </c>
      <c r="BV88" s="715">
        <f t="shared" si="40"/>
        <v>0.28259852647243999</v>
      </c>
      <c r="BW88" s="715">
        <f t="shared" si="40"/>
        <v>0.40162112390325799</v>
      </c>
      <c r="BX88" s="715">
        <f t="shared" si="40"/>
        <v>0.42673332882113901</v>
      </c>
      <c r="BY88" s="715">
        <f t="shared" si="40"/>
        <v>0.50349307432894197</v>
      </c>
      <c r="BZ88" s="715">
        <f t="shared" si="40"/>
        <v>0.62924459239994401</v>
      </c>
      <c r="CA88" s="715">
        <f t="shared" si="40"/>
        <v>0.47140198434045399</v>
      </c>
      <c r="CB88" s="715">
        <f t="shared" si="40"/>
        <v>0.31967972062523797</v>
      </c>
      <c r="CC88" s="715">
        <f t="shared" si="40"/>
        <v>0.44510525882819901</v>
      </c>
      <c r="CD88" s="715">
        <f t="shared" si="40"/>
        <v>0.25587008338800099</v>
      </c>
      <c r="CE88" s="715">
        <f t="shared" si="40"/>
        <v>0.28292681251539997</v>
      </c>
      <c r="CF88" s="715">
        <f t="shared" si="40"/>
        <v>0.13829334705695001</v>
      </c>
      <c r="CG88" s="715">
        <f t="shared" si="40"/>
        <v>0.27940958313096498</v>
      </c>
      <c r="CH88" s="715">
        <f t="shared" si="40"/>
        <v>0.26561832351584302</v>
      </c>
      <c r="CI88" s="715">
        <f t="shared" si="40"/>
        <v>0.21372858031408401</v>
      </c>
      <c r="CJ88" s="1619"/>
    </row>
    <row r="89" spans="1:93" s="64" customFormat="1" x14ac:dyDescent="0.35">
      <c r="A89" s="58"/>
      <c r="B89" s="1149" t="s">
        <v>464</v>
      </c>
      <c r="C89" s="1150" t="s">
        <v>465</v>
      </c>
      <c r="D89" s="1151" t="s">
        <v>466</v>
      </c>
      <c r="E89" s="1150" t="s">
        <v>305</v>
      </c>
      <c r="F89" s="1152">
        <v>2</v>
      </c>
      <c r="G89" s="718">
        <f>G42-G85</f>
        <v>3.1153722900000105</v>
      </c>
      <c r="H89" s="718">
        <f t="shared" ref="H89:AL89" si="41">H42-H85</f>
        <v>5.511812599999999</v>
      </c>
      <c r="I89" s="718">
        <f t="shared" si="41"/>
        <v>5.8201369399999976</v>
      </c>
      <c r="J89" s="718">
        <f t="shared" si="41"/>
        <v>5.9004793300000102</v>
      </c>
      <c r="K89" s="718">
        <f t="shared" si="41"/>
        <v>5.7899012099999965</v>
      </c>
      <c r="L89" s="718">
        <f t="shared" si="41"/>
        <v>2.3302229399999987</v>
      </c>
      <c r="M89" s="719">
        <f t="shared" si="41"/>
        <v>-0.26027383187047803</v>
      </c>
      <c r="N89" s="719">
        <f t="shared" si="41"/>
        <v>-1.8313149118704786</v>
      </c>
      <c r="O89" s="719">
        <f t="shared" si="41"/>
        <v>-3.7375801118704857</v>
      </c>
      <c r="P89" s="719">
        <f t="shared" si="41"/>
        <v>-5.1393790518704918</v>
      </c>
      <c r="Q89" s="719">
        <f t="shared" si="41"/>
        <v>-6.3886485618704967</v>
      </c>
      <c r="R89" s="719">
        <f t="shared" si="41"/>
        <v>-25.522073051870478</v>
      </c>
      <c r="S89" s="719">
        <f t="shared" si="41"/>
        <v>-26.487863541870482</v>
      </c>
      <c r="T89" s="719">
        <f t="shared" si="41"/>
        <v>-27.428295971870483</v>
      </c>
      <c r="U89" s="719">
        <f t="shared" si="41"/>
        <v>-28.428424571870494</v>
      </c>
      <c r="V89" s="719">
        <f t="shared" si="41"/>
        <v>-29.323522681870486</v>
      </c>
      <c r="W89" s="719">
        <f t="shared" si="41"/>
        <v>-30.202708541870493</v>
      </c>
      <c r="X89" s="719">
        <f t="shared" si="41"/>
        <v>-31.062820051870489</v>
      </c>
      <c r="Y89" s="719">
        <f t="shared" si="41"/>
        <v>-31.916068901870489</v>
      </c>
      <c r="Z89" s="719">
        <f t="shared" si="41"/>
        <v>-32.710298221870488</v>
      </c>
      <c r="AA89" s="719">
        <f t="shared" si="41"/>
        <v>-33.153391438870486</v>
      </c>
      <c r="AB89" s="719">
        <f t="shared" si="41"/>
        <v>-65.476955220999997</v>
      </c>
      <c r="AC89" s="719">
        <f t="shared" si="41"/>
        <v>-65.753314693000007</v>
      </c>
      <c r="AD89" s="719">
        <f t="shared" si="41"/>
        <v>-66.023611162999984</v>
      </c>
      <c r="AE89" s="719">
        <f t="shared" si="41"/>
        <v>-66.279209956999992</v>
      </c>
      <c r="AF89" s="719">
        <f t="shared" si="41"/>
        <v>-66.515058335000006</v>
      </c>
      <c r="AG89" s="719">
        <f t="shared" si="41"/>
        <v>-66.735737341999993</v>
      </c>
      <c r="AH89" s="719">
        <f t="shared" si="41"/>
        <v>-66.948830237999999</v>
      </c>
      <c r="AI89" s="719">
        <f t="shared" si="41"/>
        <v>-67.150325771999988</v>
      </c>
      <c r="AJ89" s="719">
        <f t="shared" si="41"/>
        <v>-67.33557403399999</v>
      </c>
      <c r="AK89" s="719">
        <f t="shared" si="41"/>
        <v>-67.453348386999991</v>
      </c>
      <c r="AL89" s="719">
        <f t="shared" si="41"/>
        <v>-67.567803645000012</v>
      </c>
      <c r="AM89" s="719">
        <f t="shared" ref="AM89:BR89" si="42">AM42-AM85</f>
        <v>-67.681738722999995</v>
      </c>
      <c r="AN89" s="719">
        <f t="shared" si="42"/>
        <v>-67.793003254999988</v>
      </c>
      <c r="AO89" s="719">
        <f t="shared" si="42"/>
        <v>-67.905651225</v>
      </c>
      <c r="AP89" s="719">
        <f t="shared" si="42"/>
        <v>-68.018458362000004</v>
      </c>
      <c r="AQ89" s="719">
        <f t="shared" si="42"/>
        <v>-68.131199351999996</v>
      </c>
      <c r="AR89" s="719">
        <f t="shared" si="42"/>
        <v>-68.238106889999997</v>
      </c>
      <c r="AS89" s="719">
        <f t="shared" si="42"/>
        <v>-68.340383528000004</v>
      </c>
      <c r="AT89" s="719">
        <f t="shared" si="42"/>
        <v>-68.442790848000001</v>
      </c>
      <c r="AU89" s="719">
        <f t="shared" si="42"/>
        <v>-68.542749690999997</v>
      </c>
      <c r="AV89" s="719">
        <f t="shared" si="42"/>
        <v>-68.641525977000001</v>
      </c>
      <c r="AW89" s="719">
        <f t="shared" si="42"/>
        <v>-68.740729166999998</v>
      </c>
      <c r="AX89" s="719">
        <f t="shared" si="42"/>
        <v>-68.840000455999999</v>
      </c>
      <c r="AY89" s="719">
        <f t="shared" si="42"/>
        <v>-68.941154448999995</v>
      </c>
      <c r="AZ89" s="719">
        <f t="shared" si="42"/>
        <v>-69.044496451000001</v>
      </c>
      <c r="BA89" s="719">
        <f t="shared" si="42"/>
        <v>-69.149782290000005</v>
      </c>
      <c r="BB89" s="719">
        <f t="shared" si="42"/>
        <v>-69.255279475999998</v>
      </c>
      <c r="BC89" s="719">
        <f t="shared" si="42"/>
        <v>-69.363372745000007</v>
      </c>
      <c r="BD89" s="719">
        <f t="shared" si="42"/>
        <v>-69.473283762999998</v>
      </c>
      <c r="BE89" s="719">
        <f t="shared" si="42"/>
        <v>-69.585400938999996</v>
      </c>
      <c r="BF89" s="719">
        <f t="shared" si="42"/>
        <v>-69.701767614999994</v>
      </c>
      <c r="BG89" s="719">
        <f t="shared" si="42"/>
        <v>-69.821878022999996</v>
      </c>
      <c r="BH89" s="719">
        <f t="shared" si="42"/>
        <v>-69.945999211</v>
      </c>
      <c r="BI89" s="719">
        <f t="shared" si="42"/>
        <v>-70.072685761000002</v>
      </c>
      <c r="BJ89" s="719">
        <f t="shared" si="42"/>
        <v>-70.202449137999992</v>
      </c>
      <c r="BK89" s="719">
        <f t="shared" si="42"/>
        <v>-70.335106206999995</v>
      </c>
      <c r="BL89" s="719">
        <f t="shared" si="42"/>
        <v>-70.471594343999996</v>
      </c>
      <c r="BM89" s="719">
        <f t="shared" si="42"/>
        <v>-70.613164464000008</v>
      </c>
      <c r="BN89" s="719">
        <f t="shared" si="42"/>
        <v>-70.759124995999997</v>
      </c>
      <c r="BO89" s="719">
        <f t="shared" si="42"/>
        <v>-70.91076881299999</v>
      </c>
      <c r="BP89" s="719">
        <f t="shared" si="42"/>
        <v>-71.067202404000014</v>
      </c>
      <c r="BQ89" s="719">
        <f t="shared" si="42"/>
        <v>-71.228406193999987</v>
      </c>
      <c r="BR89" s="719">
        <f t="shared" si="42"/>
        <v>-71.391929465999993</v>
      </c>
      <c r="BS89" s="719">
        <f t="shared" ref="BS89:CI89" si="43">BS42-BS85</f>
        <v>-71.55855498999999</v>
      </c>
      <c r="BT89" s="719">
        <f t="shared" si="43"/>
        <v>-71.727891557999996</v>
      </c>
      <c r="BU89" s="719">
        <f t="shared" si="43"/>
        <v>-71.900610924999995</v>
      </c>
      <c r="BV89" s="719">
        <f t="shared" si="43"/>
        <v>-72.07411277300001</v>
      </c>
      <c r="BW89" s="719">
        <f t="shared" si="43"/>
        <v>-72.249506087</v>
      </c>
      <c r="BX89" s="719">
        <f t="shared" si="43"/>
        <v>-72.426608010999999</v>
      </c>
      <c r="BY89" s="719">
        <f t="shared" si="43"/>
        <v>-72.605873997999993</v>
      </c>
      <c r="BZ89" s="719">
        <f t="shared" si="43"/>
        <v>-72.786001791999993</v>
      </c>
      <c r="CA89" s="719">
        <f t="shared" si="43"/>
        <v>-72.967182771999987</v>
      </c>
      <c r="CB89" s="719">
        <f t="shared" si="43"/>
        <v>-73.147527976999996</v>
      </c>
      <c r="CC89" s="719">
        <f t="shared" si="43"/>
        <v>-73.328470192000012</v>
      </c>
      <c r="CD89" s="719">
        <f t="shared" si="43"/>
        <v>-73.508558627999989</v>
      </c>
      <c r="CE89" s="719">
        <f t="shared" si="43"/>
        <v>-73.687751954999996</v>
      </c>
      <c r="CF89" s="719">
        <f t="shared" si="43"/>
        <v>-73.865158566999995</v>
      </c>
      <c r="CG89" s="719">
        <f t="shared" si="43"/>
        <v>-74.041290708999995</v>
      </c>
      <c r="CH89" s="719">
        <f t="shared" si="43"/>
        <v>-74.138455766999996</v>
      </c>
      <c r="CI89" s="720">
        <f t="shared" si="43"/>
        <v>-78.298455766999993</v>
      </c>
      <c r="CJ89" s="1410"/>
    </row>
    <row r="90" spans="1:93" s="64" customFormat="1" ht="14.5" thickBot="1" x14ac:dyDescent="0.4">
      <c r="A90" s="58"/>
      <c r="B90" s="1149" t="s">
        <v>467</v>
      </c>
      <c r="C90" s="1150" t="s">
        <v>468</v>
      </c>
      <c r="D90" s="1151" t="s">
        <v>469</v>
      </c>
      <c r="E90" s="1150" t="s">
        <v>305</v>
      </c>
      <c r="F90" s="1152">
        <v>2</v>
      </c>
      <c r="G90" s="1148">
        <f>G25-G44</f>
        <v>0</v>
      </c>
      <c r="H90" s="1148">
        <f t="shared" ref="H90:BS90" si="44">H25-H44</f>
        <v>0</v>
      </c>
      <c r="I90" s="1148">
        <f t="shared" si="44"/>
        <v>0</v>
      </c>
      <c r="J90" s="1148">
        <f t="shared" si="44"/>
        <v>0</v>
      </c>
      <c r="K90" s="1148">
        <f t="shared" si="44"/>
        <v>0</v>
      </c>
      <c r="L90" s="1148">
        <f t="shared" si="44"/>
        <v>0</v>
      </c>
      <c r="M90" s="1148">
        <f t="shared" si="44"/>
        <v>0</v>
      </c>
      <c r="N90" s="1148">
        <f t="shared" si="44"/>
        <v>0</v>
      </c>
      <c r="O90" s="1148">
        <f t="shared" si="44"/>
        <v>0</v>
      </c>
      <c r="P90" s="1148">
        <f t="shared" si="44"/>
        <v>0</v>
      </c>
      <c r="Q90" s="1148">
        <f t="shared" si="44"/>
        <v>0</v>
      </c>
      <c r="R90" s="1148">
        <f t="shared" si="44"/>
        <v>0</v>
      </c>
      <c r="S90" s="1148">
        <f t="shared" si="44"/>
        <v>0</v>
      </c>
      <c r="T90" s="1148">
        <f t="shared" si="44"/>
        <v>0</v>
      </c>
      <c r="U90" s="1148">
        <f t="shared" si="44"/>
        <v>0</v>
      </c>
      <c r="V90" s="1148">
        <f t="shared" si="44"/>
        <v>0</v>
      </c>
      <c r="W90" s="1148">
        <f t="shared" si="44"/>
        <v>0</v>
      </c>
      <c r="X90" s="1148">
        <f t="shared" si="44"/>
        <v>0</v>
      </c>
      <c r="Y90" s="1148">
        <f t="shared" si="44"/>
        <v>0</v>
      </c>
      <c r="Z90" s="1148">
        <f t="shared" si="44"/>
        <v>0</v>
      </c>
      <c r="AA90" s="1148">
        <f t="shared" si="44"/>
        <v>0</v>
      </c>
      <c r="AB90" s="1148">
        <f t="shared" si="44"/>
        <v>0</v>
      </c>
      <c r="AC90" s="1148">
        <f t="shared" si="44"/>
        <v>0</v>
      </c>
      <c r="AD90" s="1148">
        <f t="shared" si="44"/>
        <v>0</v>
      </c>
      <c r="AE90" s="1148">
        <f t="shared" si="44"/>
        <v>0</v>
      </c>
      <c r="AF90" s="1148">
        <f t="shared" si="44"/>
        <v>0</v>
      </c>
      <c r="AG90" s="1148">
        <f t="shared" si="44"/>
        <v>0</v>
      </c>
      <c r="AH90" s="1148">
        <f t="shared" si="44"/>
        <v>0</v>
      </c>
      <c r="AI90" s="1148">
        <f t="shared" si="44"/>
        <v>0</v>
      </c>
      <c r="AJ90" s="1148">
        <f t="shared" si="44"/>
        <v>0</v>
      </c>
      <c r="AK90" s="1148">
        <f t="shared" si="44"/>
        <v>0</v>
      </c>
      <c r="AL90" s="1148">
        <f t="shared" si="44"/>
        <v>0</v>
      </c>
      <c r="AM90" s="1148">
        <f t="shared" si="44"/>
        <v>0</v>
      </c>
      <c r="AN90" s="1148">
        <f t="shared" si="44"/>
        <v>0</v>
      </c>
      <c r="AO90" s="1148">
        <f t="shared" si="44"/>
        <v>0</v>
      </c>
      <c r="AP90" s="1148">
        <f t="shared" si="44"/>
        <v>0</v>
      </c>
      <c r="AQ90" s="1148">
        <f t="shared" si="44"/>
        <v>0</v>
      </c>
      <c r="AR90" s="1148">
        <f t="shared" si="44"/>
        <v>0</v>
      </c>
      <c r="AS90" s="1148">
        <f t="shared" si="44"/>
        <v>0</v>
      </c>
      <c r="AT90" s="1148">
        <f t="shared" si="44"/>
        <v>0</v>
      </c>
      <c r="AU90" s="1148">
        <f t="shared" si="44"/>
        <v>0</v>
      </c>
      <c r="AV90" s="1148">
        <f t="shared" si="44"/>
        <v>0</v>
      </c>
      <c r="AW90" s="1148">
        <f t="shared" si="44"/>
        <v>0</v>
      </c>
      <c r="AX90" s="1148">
        <f t="shared" si="44"/>
        <v>0</v>
      </c>
      <c r="AY90" s="1148">
        <f t="shared" si="44"/>
        <v>0</v>
      </c>
      <c r="AZ90" s="1148">
        <f t="shared" si="44"/>
        <v>0</v>
      </c>
      <c r="BA90" s="1148">
        <f t="shared" si="44"/>
        <v>0</v>
      </c>
      <c r="BB90" s="1148">
        <f t="shared" si="44"/>
        <v>0</v>
      </c>
      <c r="BC90" s="1148">
        <f t="shared" si="44"/>
        <v>0</v>
      </c>
      <c r="BD90" s="1148">
        <f t="shared" si="44"/>
        <v>0</v>
      </c>
      <c r="BE90" s="1148">
        <f t="shared" si="44"/>
        <v>0</v>
      </c>
      <c r="BF90" s="1148">
        <f t="shared" si="44"/>
        <v>0</v>
      </c>
      <c r="BG90" s="1148">
        <f t="shared" si="44"/>
        <v>0</v>
      </c>
      <c r="BH90" s="1148">
        <f t="shared" si="44"/>
        <v>0</v>
      </c>
      <c r="BI90" s="1148">
        <f t="shared" si="44"/>
        <v>0</v>
      </c>
      <c r="BJ90" s="1148">
        <f t="shared" si="44"/>
        <v>0</v>
      </c>
      <c r="BK90" s="1148">
        <f t="shared" si="44"/>
        <v>0</v>
      </c>
      <c r="BL90" s="1148">
        <f t="shared" si="44"/>
        <v>0</v>
      </c>
      <c r="BM90" s="1148">
        <f t="shared" si="44"/>
        <v>0</v>
      </c>
      <c r="BN90" s="1148">
        <f t="shared" si="44"/>
        <v>0</v>
      </c>
      <c r="BO90" s="1148">
        <f t="shared" si="44"/>
        <v>0</v>
      </c>
      <c r="BP90" s="1148">
        <f t="shared" si="44"/>
        <v>0</v>
      </c>
      <c r="BQ90" s="1148">
        <f t="shared" si="44"/>
        <v>0</v>
      </c>
      <c r="BR90" s="1148">
        <f t="shared" si="44"/>
        <v>0</v>
      </c>
      <c r="BS90" s="1148">
        <f t="shared" si="44"/>
        <v>0</v>
      </c>
      <c r="BT90" s="1148">
        <f t="shared" ref="BT90:CI90" si="45">BT25-BT44</f>
        <v>0</v>
      </c>
      <c r="BU90" s="1148">
        <f t="shared" si="45"/>
        <v>0</v>
      </c>
      <c r="BV90" s="1148">
        <f t="shared" si="45"/>
        <v>0</v>
      </c>
      <c r="BW90" s="1148">
        <f t="shared" si="45"/>
        <v>0</v>
      </c>
      <c r="BX90" s="1148">
        <f t="shared" si="45"/>
        <v>0</v>
      </c>
      <c r="BY90" s="1148">
        <f t="shared" si="45"/>
        <v>0</v>
      </c>
      <c r="BZ90" s="1148">
        <f t="shared" si="45"/>
        <v>0</v>
      </c>
      <c r="CA90" s="1148">
        <f t="shared" si="45"/>
        <v>0</v>
      </c>
      <c r="CB90" s="1148">
        <f t="shared" si="45"/>
        <v>0</v>
      </c>
      <c r="CC90" s="1148">
        <f t="shared" si="45"/>
        <v>0</v>
      </c>
      <c r="CD90" s="1148">
        <f t="shared" si="45"/>
        <v>0</v>
      </c>
      <c r="CE90" s="1148">
        <f t="shared" si="45"/>
        <v>0</v>
      </c>
      <c r="CF90" s="1148">
        <f t="shared" si="45"/>
        <v>0</v>
      </c>
      <c r="CG90" s="1148">
        <f t="shared" si="45"/>
        <v>0</v>
      </c>
      <c r="CH90" s="1148">
        <f t="shared" si="45"/>
        <v>0</v>
      </c>
      <c r="CI90" s="1148">
        <f t="shared" si="45"/>
        <v>0</v>
      </c>
      <c r="CJ90" s="1410"/>
    </row>
    <row r="91" spans="1:93" s="64" customFormat="1" x14ac:dyDescent="0.35">
      <c r="A91" s="58"/>
      <c r="B91" s="721" t="s">
        <v>470</v>
      </c>
      <c r="C91" s="722" t="s">
        <v>471</v>
      </c>
      <c r="D91" s="723" t="s">
        <v>472</v>
      </c>
      <c r="E91" s="722" t="s">
        <v>305</v>
      </c>
      <c r="F91" s="724">
        <v>2</v>
      </c>
      <c r="G91" s="725">
        <f>G89-G88</f>
        <v>3.1153722900000105</v>
      </c>
      <c r="H91" s="725">
        <f t="shared" ref="H91:BS91" si="46">H89-H88</f>
        <v>5.511812599999999</v>
      </c>
      <c r="I91" s="725">
        <f t="shared" si="46"/>
        <v>2.8443772297588774</v>
      </c>
      <c r="J91" s="725">
        <f t="shared" si="46"/>
        <v>2.5427838145545203</v>
      </c>
      <c r="K91" s="725">
        <f t="shared" si="46"/>
        <v>2.9324933067061165</v>
      </c>
      <c r="L91" s="725">
        <f t="shared" si="46"/>
        <v>-0.70673330198036144</v>
      </c>
      <c r="M91" s="726">
        <f t="shared" si="46"/>
        <v>-3.5186832317408179</v>
      </c>
      <c r="N91" s="726">
        <f t="shared" si="46"/>
        <v>-4.9520279791606585</v>
      </c>
      <c r="O91" s="726">
        <f t="shared" si="46"/>
        <v>-7.1250937421310159</v>
      </c>
      <c r="P91" s="726">
        <f t="shared" si="46"/>
        <v>-8.4450118645063821</v>
      </c>
      <c r="Q91" s="726">
        <f t="shared" si="46"/>
        <v>-8.6050814876826873</v>
      </c>
      <c r="R91" s="726">
        <f t="shared" si="46"/>
        <v>-27.73893227791368</v>
      </c>
      <c r="S91" s="726">
        <f t="shared" si="46"/>
        <v>-28.876438632294391</v>
      </c>
      <c r="T91" s="726">
        <f t="shared" si="46"/>
        <v>-29.817197737928161</v>
      </c>
      <c r="U91" s="726">
        <f t="shared" si="46"/>
        <v>-31.008994487938683</v>
      </c>
      <c r="V91" s="726">
        <f t="shared" si="46"/>
        <v>-30.608228973100196</v>
      </c>
      <c r="W91" s="726">
        <f t="shared" si="46"/>
        <v>-31.450411598993984</v>
      </c>
      <c r="X91" s="726">
        <f t="shared" si="46"/>
        <v>-32.42275709190821</v>
      </c>
      <c r="Y91" s="726">
        <f t="shared" si="46"/>
        <v>-33.355908363713517</v>
      </c>
      <c r="Z91" s="726">
        <f t="shared" si="46"/>
        <v>-34.219783379699656</v>
      </c>
      <c r="AA91" s="726">
        <f t="shared" si="46"/>
        <v>-34.612824607473293</v>
      </c>
      <c r="AB91" s="726">
        <f t="shared" si="46"/>
        <v>-66.832349726723052</v>
      </c>
      <c r="AC91" s="726">
        <f t="shared" si="46"/>
        <v>-67.187678757045532</v>
      </c>
      <c r="AD91" s="726">
        <f t="shared" si="46"/>
        <v>-67.589401487326228</v>
      </c>
      <c r="AE91" s="726">
        <f t="shared" si="46"/>
        <v>-67.801787566815236</v>
      </c>
      <c r="AF91" s="726">
        <f t="shared" si="46"/>
        <v>-68.06210253166735</v>
      </c>
      <c r="AG91" s="726">
        <f t="shared" si="46"/>
        <v>-68.382432274785117</v>
      </c>
      <c r="AH91" s="726">
        <f t="shared" si="46"/>
        <v>-68.505496177271766</v>
      </c>
      <c r="AI91" s="726">
        <f t="shared" si="46"/>
        <v>-68.702554776617802</v>
      </c>
      <c r="AJ91" s="726">
        <f t="shared" si="46"/>
        <v>-68.922356814448548</v>
      </c>
      <c r="AK91" s="726">
        <f t="shared" si="46"/>
        <v>-69.02007977206847</v>
      </c>
      <c r="AL91" s="726">
        <f t="shared" si="46"/>
        <v>-69.191308720938196</v>
      </c>
      <c r="AM91" s="726">
        <f t="shared" si="46"/>
        <v>-69.275061972283538</v>
      </c>
      <c r="AN91" s="726">
        <f t="shared" si="46"/>
        <v>-69.481670453098999</v>
      </c>
      <c r="AO91" s="726">
        <f t="shared" si="46"/>
        <v>-69.513983394380389</v>
      </c>
      <c r="AP91" s="726">
        <f t="shared" si="46"/>
        <v>-69.518127253316919</v>
      </c>
      <c r="AQ91" s="726">
        <f t="shared" si="46"/>
        <v>-69.689982678437843</v>
      </c>
      <c r="AR91" s="726">
        <f t="shared" si="46"/>
        <v>-69.706965459413652</v>
      </c>
      <c r="AS91" s="726">
        <f t="shared" si="46"/>
        <v>-69.789396632677807</v>
      </c>
      <c r="AT91" s="726">
        <f t="shared" si="46"/>
        <v>-69.810970174776898</v>
      </c>
      <c r="AU91" s="726">
        <f t="shared" si="46"/>
        <v>-69.830537722290345</v>
      </c>
      <c r="AV91" s="726">
        <f t="shared" si="46"/>
        <v>-69.951819267984902</v>
      </c>
      <c r="AW91" s="726">
        <f t="shared" si="46"/>
        <v>-69.874277306606331</v>
      </c>
      <c r="AX91" s="726">
        <f t="shared" si="46"/>
        <v>-70.150798834139351</v>
      </c>
      <c r="AY91" s="726">
        <f t="shared" si="46"/>
        <v>-70.185658524032135</v>
      </c>
      <c r="AZ91" s="726">
        <f t="shared" si="46"/>
        <v>-70.253071077864035</v>
      </c>
      <c r="BA91" s="726">
        <f t="shared" si="46"/>
        <v>-70.320021408300221</v>
      </c>
      <c r="BB91" s="726">
        <f t="shared" si="46"/>
        <v>-70.345184090422322</v>
      </c>
      <c r="BC91" s="726">
        <f t="shared" si="46"/>
        <v>-70.408158816448832</v>
      </c>
      <c r="BD91" s="726">
        <f t="shared" si="46"/>
        <v>-70.386781558390808</v>
      </c>
      <c r="BE91" s="726">
        <f t="shared" si="46"/>
        <v>-70.630009745762862</v>
      </c>
      <c r="BF91" s="726">
        <f t="shared" si="46"/>
        <v>-70.637565197066579</v>
      </c>
      <c r="BG91" s="726">
        <f t="shared" si="46"/>
        <v>-70.624062651512503</v>
      </c>
      <c r="BH91" s="726">
        <f t="shared" si="46"/>
        <v>-70.618687625385604</v>
      </c>
      <c r="BI91" s="726">
        <f t="shared" si="46"/>
        <v>-70.674123417717155</v>
      </c>
      <c r="BJ91" s="726">
        <f t="shared" si="46"/>
        <v>-71.341838561024019</v>
      </c>
      <c r="BK91" s="726">
        <f t="shared" si="46"/>
        <v>-71.134563314974073</v>
      </c>
      <c r="BL91" s="726">
        <f t="shared" si="46"/>
        <v>-71.234015512307337</v>
      </c>
      <c r="BM91" s="726">
        <f t="shared" si="46"/>
        <v>-71.283461228148298</v>
      </c>
      <c r="BN91" s="726">
        <f t="shared" si="46"/>
        <v>-71.612715118967429</v>
      </c>
      <c r="BO91" s="726">
        <f t="shared" si="46"/>
        <v>-71.613869399117249</v>
      </c>
      <c r="BP91" s="726">
        <f t="shared" si="46"/>
        <v>-71.557178059839373</v>
      </c>
      <c r="BQ91" s="726">
        <f t="shared" si="46"/>
        <v>-71.800862696942374</v>
      </c>
      <c r="BR91" s="726">
        <f t="shared" si="46"/>
        <v>-72.004472172598327</v>
      </c>
      <c r="BS91" s="726">
        <f t="shared" si="46"/>
        <v>-72.291458452104905</v>
      </c>
      <c r="BT91" s="726">
        <f t="shared" ref="BT91:CI91" si="47">BT89-BT88</f>
        <v>-72.232239653473826</v>
      </c>
      <c r="BU91" s="726">
        <f t="shared" si="47"/>
        <v>-72.417802735907188</v>
      </c>
      <c r="BV91" s="726">
        <f t="shared" si="47"/>
        <v>-72.356711299472451</v>
      </c>
      <c r="BW91" s="726">
        <f t="shared" si="47"/>
        <v>-72.651127210903255</v>
      </c>
      <c r="BX91" s="726">
        <f t="shared" si="47"/>
        <v>-72.853341339821142</v>
      </c>
      <c r="BY91" s="726">
        <f t="shared" si="47"/>
        <v>-73.109367072328936</v>
      </c>
      <c r="BZ91" s="726">
        <f t="shared" si="47"/>
        <v>-73.415246384399936</v>
      </c>
      <c r="CA91" s="726">
        <f t="shared" si="47"/>
        <v>-73.438584756340447</v>
      </c>
      <c r="CB91" s="726">
        <f t="shared" si="47"/>
        <v>-73.467207697625227</v>
      </c>
      <c r="CC91" s="726">
        <f t="shared" si="47"/>
        <v>-73.773575450828204</v>
      </c>
      <c r="CD91" s="726">
        <f t="shared" si="47"/>
        <v>-73.764428711387993</v>
      </c>
      <c r="CE91" s="726">
        <f t="shared" si="47"/>
        <v>-73.970678767515395</v>
      </c>
      <c r="CF91" s="726">
        <f t="shared" si="47"/>
        <v>-74.003451914056939</v>
      </c>
      <c r="CG91" s="726">
        <f t="shared" si="47"/>
        <v>-74.320700292130965</v>
      </c>
      <c r="CH91" s="726">
        <f t="shared" si="47"/>
        <v>-74.404074090515834</v>
      </c>
      <c r="CI91" s="727">
        <f t="shared" si="47"/>
        <v>-78.512184347314076</v>
      </c>
      <c r="CJ91" s="1410"/>
    </row>
    <row r="92" spans="1:93" ht="14.5" thickBot="1" x14ac:dyDescent="0.4">
      <c r="B92" s="728"/>
      <c r="C92" s="729"/>
      <c r="D92" s="63"/>
      <c r="E92" s="729"/>
      <c r="F92" s="730"/>
      <c r="G92" s="731"/>
      <c r="H92" s="731"/>
      <c r="I92" s="731"/>
      <c r="J92" s="731"/>
      <c r="K92" s="731"/>
      <c r="L92" s="731"/>
      <c r="M92" s="731"/>
      <c r="N92" s="731"/>
      <c r="O92" s="731"/>
      <c r="P92" s="731"/>
      <c r="Q92" s="731"/>
      <c r="R92" s="731"/>
      <c r="S92" s="731"/>
      <c r="T92" s="731"/>
      <c r="U92" s="731"/>
      <c r="V92" s="731"/>
      <c r="W92" s="731"/>
      <c r="X92" s="731"/>
      <c r="Y92" s="731"/>
      <c r="Z92" s="731"/>
      <c r="AA92" s="731"/>
      <c r="AB92" s="731"/>
      <c r="AC92" s="731"/>
      <c r="AD92" s="731"/>
      <c r="AE92" s="731"/>
      <c r="AF92" s="731"/>
      <c r="AG92" s="731"/>
      <c r="AH92" s="731"/>
      <c r="AI92" s="731"/>
      <c r="AJ92" s="731"/>
      <c r="AK92" s="731"/>
      <c r="AL92" s="731"/>
      <c r="AM92" s="731"/>
      <c r="AN92" s="731"/>
      <c r="AO92" s="731"/>
      <c r="AP92" s="731"/>
      <c r="AQ92" s="731"/>
      <c r="AR92" s="731"/>
      <c r="AS92" s="731"/>
      <c r="AT92" s="731"/>
      <c r="AU92" s="731"/>
      <c r="AV92" s="731"/>
      <c r="AW92" s="731"/>
      <c r="AX92" s="731"/>
      <c r="AY92" s="731"/>
      <c r="AZ92" s="731"/>
      <c r="BA92" s="731"/>
      <c r="BB92" s="731"/>
      <c r="BC92" s="731"/>
      <c r="BD92" s="731"/>
      <c r="BE92" s="731"/>
      <c r="BF92" s="731"/>
      <c r="BG92" s="731"/>
      <c r="BH92" s="731"/>
      <c r="BI92" s="731"/>
      <c r="BJ92" s="731"/>
      <c r="BK92" s="731"/>
      <c r="BL92" s="731"/>
      <c r="BM92" s="731"/>
      <c r="BN92" s="731"/>
      <c r="BO92" s="731"/>
      <c r="BP92" s="731"/>
      <c r="BQ92" s="731"/>
      <c r="BR92" s="731"/>
      <c r="BS92" s="731"/>
      <c r="BT92" s="731"/>
      <c r="BU92" s="731"/>
      <c r="BV92" s="731"/>
      <c r="BW92" s="731"/>
      <c r="BX92" s="731"/>
      <c r="BY92" s="731"/>
      <c r="BZ92" s="731"/>
      <c r="CA92" s="731"/>
      <c r="CB92" s="731"/>
      <c r="CC92" s="731"/>
      <c r="CD92" s="731"/>
      <c r="CE92" s="731"/>
      <c r="CF92" s="731"/>
      <c r="CG92" s="731"/>
      <c r="CH92" s="731"/>
      <c r="CI92" s="731"/>
    </row>
    <row r="93" spans="1:93" ht="14.5" thickBot="1" x14ac:dyDescent="0.4">
      <c r="B93" s="732" t="s">
        <v>473</v>
      </c>
      <c r="C93" s="729"/>
      <c r="D93" s="63"/>
      <c r="E93" s="729"/>
      <c r="F93" s="730"/>
      <c r="G93" s="731">
        <v>0.1</v>
      </c>
      <c r="H93" s="731"/>
      <c r="I93" s="731"/>
      <c r="J93" s="731"/>
      <c r="K93" s="731"/>
      <c r="L93" s="731"/>
      <c r="M93" s="731"/>
      <c r="N93" s="731"/>
      <c r="O93" s="731"/>
      <c r="P93" s="731"/>
      <c r="Q93" s="731"/>
      <c r="R93" s="731"/>
      <c r="S93" s="731"/>
      <c r="T93" s="731"/>
      <c r="U93" s="731"/>
      <c r="V93" s="731"/>
      <c r="W93" s="731"/>
      <c r="X93" s="731"/>
      <c r="Y93" s="731"/>
      <c r="Z93" s="731"/>
      <c r="AA93" s="731"/>
      <c r="AB93" s="731"/>
      <c r="AC93" s="731"/>
      <c r="AD93" s="731"/>
      <c r="AE93" s="731"/>
      <c r="AF93" s="731"/>
      <c r="AG93" s="731"/>
      <c r="AH93" s="731"/>
      <c r="AI93" s="731"/>
      <c r="AJ93" s="731"/>
      <c r="AK93" s="731"/>
      <c r="AL93" s="731"/>
      <c r="AM93" s="731"/>
      <c r="AN93" s="731"/>
      <c r="AO93" s="731"/>
      <c r="AP93" s="731"/>
      <c r="AQ93" s="731"/>
      <c r="AR93" s="731"/>
      <c r="AS93" s="731"/>
      <c r="AT93" s="731"/>
      <c r="AU93" s="731"/>
      <c r="AV93" s="731"/>
      <c r="AW93" s="731"/>
      <c r="AX93" s="731"/>
      <c r="AY93" s="731"/>
      <c r="AZ93" s="731"/>
      <c r="BA93" s="731"/>
      <c r="BB93" s="731"/>
      <c r="BC93" s="731"/>
      <c r="BD93" s="731"/>
      <c r="BE93" s="731"/>
      <c r="BF93" s="731"/>
      <c r="BG93" s="731"/>
      <c r="BH93" s="731"/>
      <c r="BI93" s="731"/>
      <c r="BJ93" s="731"/>
      <c r="BK93" s="731"/>
      <c r="BL93" s="731"/>
      <c r="BM93" s="731"/>
      <c r="BN93" s="731"/>
      <c r="BO93" s="731"/>
      <c r="BP93" s="731"/>
      <c r="BQ93" s="731"/>
      <c r="BR93" s="731"/>
      <c r="BS93" s="731"/>
      <c r="BT93" s="731"/>
      <c r="BU93" s="731"/>
      <c r="BV93" s="731"/>
      <c r="BW93" s="731"/>
      <c r="BX93" s="731"/>
      <c r="BY93" s="731"/>
      <c r="BZ93" s="731"/>
      <c r="CA93" s="731"/>
      <c r="CB93" s="731"/>
      <c r="CC93" s="731"/>
      <c r="CD93" s="731"/>
      <c r="CE93" s="731"/>
      <c r="CF93" s="731"/>
      <c r="CG93" s="731"/>
      <c r="CH93" s="731"/>
      <c r="CI93" s="731"/>
    </row>
    <row r="94" spans="1:93" ht="28.5" thickBot="1" x14ac:dyDescent="0.4">
      <c r="B94" s="733" t="s">
        <v>217</v>
      </c>
      <c r="C94" s="734" t="s">
        <v>474</v>
      </c>
      <c r="D94" s="734" t="s">
        <v>475</v>
      </c>
      <c r="E94" s="734" t="s">
        <v>219</v>
      </c>
      <c r="F94" s="735" t="s">
        <v>220</v>
      </c>
      <c r="G94" s="736" t="s">
        <v>221</v>
      </c>
      <c r="H94" s="736" t="s">
        <v>222</v>
      </c>
      <c r="I94" s="736" t="s">
        <v>223</v>
      </c>
      <c r="J94" s="736" t="s">
        <v>224</v>
      </c>
      <c r="K94" s="736" t="s">
        <v>225</v>
      </c>
      <c r="L94" s="736" t="s">
        <v>226</v>
      </c>
      <c r="M94" s="734" t="s">
        <v>227</v>
      </c>
      <c r="N94" s="734" t="s">
        <v>228</v>
      </c>
      <c r="O94" s="734" t="s">
        <v>229</v>
      </c>
      <c r="P94" s="734" t="s">
        <v>230</v>
      </c>
      <c r="Q94" s="734" t="s">
        <v>231</v>
      </c>
      <c r="R94" s="734" t="s">
        <v>232</v>
      </c>
      <c r="S94" s="734" t="s">
        <v>233</v>
      </c>
      <c r="T94" s="734" t="s">
        <v>234</v>
      </c>
      <c r="U94" s="734" t="s">
        <v>235</v>
      </c>
      <c r="V94" s="734" t="s">
        <v>236</v>
      </c>
      <c r="W94" s="734" t="s">
        <v>237</v>
      </c>
      <c r="X94" s="734" t="s">
        <v>238</v>
      </c>
      <c r="Y94" s="734" t="s">
        <v>239</v>
      </c>
      <c r="Z94" s="734" t="s">
        <v>240</v>
      </c>
      <c r="AA94" s="734" t="s">
        <v>241</v>
      </c>
      <c r="AB94" s="734" t="s">
        <v>242</v>
      </c>
      <c r="AC94" s="734" t="s">
        <v>243</v>
      </c>
      <c r="AD94" s="734" t="s">
        <v>244</v>
      </c>
      <c r="AE94" s="734" t="s">
        <v>245</v>
      </c>
      <c r="AF94" s="734" t="s">
        <v>246</v>
      </c>
      <c r="AG94" s="734" t="s">
        <v>247</v>
      </c>
      <c r="AH94" s="734" t="s">
        <v>248</v>
      </c>
      <c r="AI94" s="734" t="s">
        <v>249</v>
      </c>
      <c r="AJ94" s="734" t="s">
        <v>250</v>
      </c>
      <c r="AK94" s="734" t="s">
        <v>251</v>
      </c>
      <c r="AL94" s="734" t="s">
        <v>252</v>
      </c>
      <c r="AM94" s="734" t="s">
        <v>253</v>
      </c>
      <c r="AN94" s="734" t="s">
        <v>254</v>
      </c>
      <c r="AO94" s="734" t="s">
        <v>255</v>
      </c>
      <c r="AP94" s="734" t="s">
        <v>256</v>
      </c>
      <c r="AQ94" s="734" t="s">
        <v>257</v>
      </c>
      <c r="AR94" s="734" t="s">
        <v>258</v>
      </c>
      <c r="AS94" s="734" t="s">
        <v>259</v>
      </c>
      <c r="AT94" s="734" t="s">
        <v>260</v>
      </c>
      <c r="AU94" s="734" t="s">
        <v>261</v>
      </c>
      <c r="AV94" s="734" t="s">
        <v>262</v>
      </c>
      <c r="AW94" s="734" t="s">
        <v>263</v>
      </c>
      <c r="AX94" s="734" t="s">
        <v>264</v>
      </c>
      <c r="AY94" s="734" t="s">
        <v>265</v>
      </c>
      <c r="AZ94" s="734" t="s">
        <v>266</v>
      </c>
      <c r="BA94" s="734" t="s">
        <v>267</v>
      </c>
      <c r="BB94" s="734" t="s">
        <v>268</v>
      </c>
      <c r="BC94" s="734" t="s">
        <v>269</v>
      </c>
      <c r="BD94" s="734" t="s">
        <v>270</v>
      </c>
      <c r="BE94" s="734" t="s">
        <v>271</v>
      </c>
      <c r="BF94" s="734" t="s">
        <v>272</v>
      </c>
      <c r="BG94" s="734" t="s">
        <v>273</v>
      </c>
      <c r="BH94" s="734" t="s">
        <v>274</v>
      </c>
      <c r="BI94" s="734" t="s">
        <v>275</v>
      </c>
      <c r="BJ94" s="734" t="s">
        <v>276</v>
      </c>
      <c r="BK94" s="734" t="s">
        <v>277</v>
      </c>
      <c r="BL94" s="734" t="s">
        <v>278</v>
      </c>
      <c r="BM94" s="734" t="s">
        <v>279</v>
      </c>
      <c r="BN94" s="734" t="s">
        <v>280</v>
      </c>
      <c r="BO94" s="734" t="s">
        <v>281</v>
      </c>
      <c r="BP94" s="734" t="s">
        <v>282</v>
      </c>
      <c r="BQ94" s="734" t="s">
        <v>283</v>
      </c>
      <c r="BR94" s="734" t="s">
        <v>284</v>
      </c>
      <c r="BS94" s="734" t="s">
        <v>285</v>
      </c>
      <c r="BT94" s="734" t="s">
        <v>286</v>
      </c>
      <c r="BU94" s="734" t="s">
        <v>287</v>
      </c>
      <c r="BV94" s="734" t="s">
        <v>288</v>
      </c>
      <c r="BW94" s="734" t="s">
        <v>289</v>
      </c>
      <c r="BX94" s="734" t="s">
        <v>290</v>
      </c>
      <c r="BY94" s="734" t="s">
        <v>291</v>
      </c>
      <c r="BZ94" s="734" t="s">
        <v>292</v>
      </c>
      <c r="CA94" s="734" t="s">
        <v>293</v>
      </c>
      <c r="CB94" s="734" t="s">
        <v>294</v>
      </c>
      <c r="CC94" s="734" t="s">
        <v>295</v>
      </c>
      <c r="CD94" s="734" t="s">
        <v>296</v>
      </c>
      <c r="CE94" s="734" t="s">
        <v>297</v>
      </c>
      <c r="CF94" s="734" t="s">
        <v>298</v>
      </c>
      <c r="CG94" s="734" t="s">
        <v>299</v>
      </c>
      <c r="CH94" s="734" t="s">
        <v>300</v>
      </c>
      <c r="CI94" s="737" t="s">
        <v>301</v>
      </c>
      <c r="CJ94" s="734" t="s">
        <v>302</v>
      </c>
      <c r="CK94" s="734" t="s">
        <v>476</v>
      </c>
      <c r="CL94" s="734" t="s">
        <v>477</v>
      </c>
      <c r="CM94" s="734" t="s">
        <v>478</v>
      </c>
      <c r="CN94" s="734" t="s">
        <v>479</v>
      </c>
      <c r="CO94" s="734" t="s">
        <v>480</v>
      </c>
    </row>
    <row r="95" spans="1:93" ht="28" x14ac:dyDescent="0.35">
      <c r="B95" s="746" t="s">
        <v>481</v>
      </c>
      <c r="C95" s="747" t="s">
        <v>482</v>
      </c>
      <c r="D95" s="747" t="s">
        <v>483</v>
      </c>
      <c r="E95" s="747" t="s">
        <v>305</v>
      </c>
      <c r="F95" s="748">
        <v>2</v>
      </c>
      <c r="G95" s="749"/>
      <c r="H95" s="750"/>
      <c r="I95" s="750"/>
      <c r="J95" s="750"/>
      <c r="K95" s="750"/>
      <c r="L95" s="750"/>
      <c r="M95" s="744"/>
      <c r="N95" s="744"/>
      <c r="O95" s="744"/>
      <c r="P95" s="744"/>
      <c r="Q95" s="744"/>
      <c r="R95" s="744"/>
      <c r="S95" s="744"/>
      <c r="T95" s="744"/>
      <c r="U95" s="744"/>
      <c r="V95" s="744"/>
      <c r="W95" s="744"/>
      <c r="X95" s="744"/>
      <c r="Y95" s="744"/>
      <c r="Z95" s="744"/>
      <c r="AA95" s="744"/>
      <c r="AB95" s="744"/>
      <c r="AC95" s="744"/>
      <c r="AD95" s="744"/>
      <c r="AE95" s="744"/>
      <c r="AF95" s="744"/>
      <c r="AG95" s="744"/>
      <c r="AH95" s="744"/>
      <c r="AI95" s="744"/>
      <c r="AJ95" s="744"/>
      <c r="AK95" s="744"/>
      <c r="AL95" s="744"/>
      <c r="AM95" s="744"/>
      <c r="AN95" s="744"/>
      <c r="AO95" s="744"/>
      <c r="AP95" s="744"/>
      <c r="AQ95" s="744"/>
      <c r="AR95" s="744"/>
      <c r="AS95" s="744"/>
      <c r="AT95" s="744"/>
      <c r="AU95" s="744"/>
      <c r="AV95" s="744"/>
      <c r="AW95" s="744"/>
      <c r="AX95" s="744"/>
      <c r="AY95" s="744"/>
      <c r="AZ95" s="744"/>
      <c r="BA95" s="744"/>
      <c r="BB95" s="744"/>
      <c r="BC95" s="744"/>
      <c r="BD95" s="744"/>
      <c r="BE95" s="744"/>
      <c r="BF95" s="744"/>
      <c r="BG95" s="744"/>
      <c r="BH95" s="744"/>
      <c r="BI95" s="744"/>
      <c r="BJ95" s="744"/>
      <c r="BK95" s="744"/>
      <c r="BL95" s="744"/>
      <c r="BM95" s="744"/>
      <c r="BN95" s="744"/>
      <c r="BO95" s="744"/>
      <c r="BP95" s="744"/>
      <c r="BQ95" s="744"/>
      <c r="BR95" s="744"/>
      <c r="BS95" s="744">
        <v>0.5</v>
      </c>
      <c r="BT95" s="744">
        <v>0.5</v>
      </c>
      <c r="BU95" s="744">
        <v>0.5</v>
      </c>
      <c r="BV95" s="744">
        <v>0.5</v>
      </c>
      <c r="BW95" s="744">
        <v>0.5</v>
      </c>
      <c r="BX95" s="744">
        <v>1.4</v>
      </c>
      <c r="BY95" s="744">
        <v>1.4</v>
      </c>
      <c r="BZ95" s="744">
        <v>1.4</v>
      </c>
      <c r="CA95" s="744">
        <v>1.4</v>
      </c>
      <c r="CB95" s="744">
        <v>1.4</v>
      </c>
      <c r="CC95" s="744">
        <v>1.4</v>
      </c>
      <c r="CD95" s="744">
        <v>1.4</v>
      </c>
      <c r="CE95" s="744">
        <v>1.4</v>
      </c>
      <c r="CF95" s="744">
        <v>1.4</v>
      </c>
      <c r="CG95" s="744">
        <v>1.4</v>
      </c>
      <c r="CH95" s="744">
        <v>1.4</v>
      </c>
      <c r="CI95" s="744">
        <v>1.4</v>
      </c>
      <c r="CJ95" s="1473"/>
      <c r="CK95" s="1473"/>
      <c r="CL95" s="1473"/>
      <c r="CM95" s="1473"/>
      <c r="CN95" s="1473"/>
      <c r="CO95" s="1473"/>
    </row>
    <row r="96" spans="1:93" x14ac:dyDescent="0.35">
      <c r="B96" s="738" t="s">
        <v>484</v>
      </c>
      <c r="C96" s="739" t="s">
        <v>485</v>
      </c>
      <c r="D96" s="739" t="s">
        <v>486</v>
      </c>
      <c r="E96" s="739" t="s">
        <v>305</v>
      </c>
      <c r="F96" s="740">
        <v>2</v>
      </c>
      <c r="G96" s="749"/>
      <c r="H96" s="750"/>
      <c r="I96" s="750"/>
      <c r="J96" s="750"/>
      <c r="K96" s="750"/>
      <c r="L96" s="750"/>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4"/>
      <c r="AL96" s="744"/>
      <c r="AM96" s="744"/>
      <c r="AN96" s="744"/>
      <c r="AO96" s="744"/>
      <c r="AP96" s="744"/>
      <c r="AQ96" s="744"/>
      <c r="AR96" s="744"/>
      <c r="AS96" s="744"/>
      <c r="AT96" s="744"/>
      <c r="AU96" s="744"/>
      <c r="AV96" s="744"/>
      <c r="AW96" s="744"/>
      <c r="AX96" s="744"/>
      <c r="AY96" s="744"/>
      <c r="AZ96" s="744"/>
      <c r="BA96" s="744"/>
      <c r="BB96" s="744"/>
      <c r="BC96" s="744"/>
      <c r="BD96" s="744"/>
      <c r="BE96" s="744"/>
      <c r="BF96" s="744"/>
      <c r="BG96" s="744"/>
      <c r="BH96" s="744"/>
      <c r="BI96" s="744"/>
      <c r="BJ96" s="744"/>
      <c r="BK96" s="744"/>
      <c r="BL96" s="744"/>
      <c r="BM96" s="744"/>
      <c r="BN96" s="744"/>
      <c r="BO96" s="744"/>
      <c r="BP96" s="744"/>
      <c r="BQ96" s="744"/>
      <c r="BR96" s="744"/>
      <c r="BS96" s="744"/>
      <c r="BT96" s="744"/>
      <c r="BU96" s="744"/>
      <c r="BV96" s="744"/>
      <c r="BW96" s="744"/>
      <c r="BX96" s="744"/>
      <c r="BY96" s="744"/>
      <c r="BZ96" s="744"/>
      <c r="CA96" s="744"/>
      <c r="CB96" s="744"/>
      <c r="CC96" s="744"/>
      <c r="CD96" s="744"/>
      <c r="CE96" s="744"/>
      <c r="CF96" s="744"/>
      <c r="CG96" s="744"/>
      <c r="CH96" s="744"/>
      <c r="CI96" s="745"/>
      <c r="CJ96" s="1474"/>
      <c r="CK96" s="1474"/>
      <c r="CL96" s="1474"/>
      <c r="CM96" s="1474"/>
      <c r="CN96" s="1474"/>
      <c r="CO96" s="1474"/>
    </row>
    <row r="97" spans="2:93" x14ac:dyDescent="0.35">
      <c r="B97" s="746" t="s">
        <v>487</v>
      </c>
      <c r="C97" s="747" t="s">
        <v>488</v>
      </c>
      <c r="D97" s="747" t="s">
        <v>489</v>
      </c>
      <c r="E97" s="747" t="s">
        <v>305</v>
      </c>
      <c r="F97" s="748">
        <v>2</v>
      </c>
      <c r="G97" s="749"/>
      <c r="H97" s="750"/>
      <c r="I97" s="750"/>
      <c r="J97" s="750"/>
      <c r="K97" s="750"/>
      <c r="L97" s="750"/>
      <c r="M97" s="744"/>
      <c r="N97" s="744"/>
      <c r="O97" s="744"/>
      <c r="P97" s="744"/>
      <c r="Q97" s="744"/>
      <c r="R97" s="744"/>
      <c r="S97" s="744">
        <v>25</v>
      </c>
      <c r="T97" s="744">
        <v>26</v>
      </c>
      <c r="U97" s="744">
        <v>26</v>
      </c>
      <c r="V97" s="744">
        <v>26</v>
      </c>
      <c r="W97" s="744">
        <v>26</v>
      </c>
      <c r="X97" s="744">
        <v>44</v>
      </c>
      <c r="Y97" s="744">
        <v>44</v>
      </c>
      <c r="Z97" s="744">
        <v>44</v>
      </c>
      <c r="AA97" s="744">
        <v>44</v>
      </c>
      <c r="AB97" s="744">
        <v>44</v>
      </c>
      <c r="AC97" s="744">
        <v>44</v>
      </c>
      <c r="AD97" s="744">
        <v>44</v>
      </c>
      <c r="AE97" s="744">
        <v>44</v>
      </c>
      <c r="AF97" s="744">
        <v>44</v>
      </c>
      <c r="AG97" s="744">
        <v>44</v>
      </c>
      <c r="AH97" s="744">
        <v>44</v>
      </c>
      <c r="AI97" s="744">
        <v>44</v>
      </c>
      <c r="AJ97" s="744">
        <v>44</v>
      </c>
      <c r="AK97" s="744">
        <v>44</v>
      </c>
      <c r="AL97" s="744">
        <v>44</v>
      </c>
      <c r="AM97" s="744">
        <v>44</v>
      </c>
      <c r="AN97" s="744">
        <v>44</v>
      </c>
      <c r="AO97" s="744">
        <v>44</v>
      </c>
      <c r="AP97" s="744">
        <v>44</v>
      </c>
      <c r="AQ97" s="744">
        <v>44</v>
      </c>
      <c r="AR97" s="744">
        <v>44</v>
      </c>
      <c r="AS97" s="744">
        <v>44</v>
      </c>
      <c r="AT97" s="744">
        <v>44</v>
      </c>
      <c r="AU97" s="744">
        <v>44</v>
      </c>
      <c r="AV97" s="744">
        <v>44</v>
      </c>
      <c r="AW97" s="744">
        <v>44</v>
      </c>
      <c r="AX97" s="744">
        <v>44</v>
      </c>
      <c r="AY97" s="744">
        <v>44</v>
      </c>
      <c r="AZ97" s="744">
        <v>44</v>
      </c>
      <c r="BA97" s="744">
        <v>44</v>
      </c>
      <c r="BB97" s="744">
        <v>44</v>
      </c>
      <c r="BC97" s="744">
        <v>44</v>
      </c>
      <c r="BD97" s="744">
        <v>44</v>
      </c>
      <c r="BE97" s="744">
        <v>44</v>
      </c>
      <c r="BF97" s="744">
        <v>44</v>
      </c>
      <c r="BG97" s="744">
        <v>44</v>
      </c>
      <c r="BH97" s="744">
        <v>44</v>
      </c>
      <c r="BI97" s="744">
        <v>44</v>
      </c>
      <c r="BJ97" s="744">
        <v>44</v>
      </c>
      <c r="BK97" s="744">
        <v>44</v>
      </c>
      <c r="BL97" s="744">
        <v>44</v>
      </c>
      <c r="BM97" s="744">
        <v>44</v>
      </c>
      <c r="BN97" s="744">
        <v>44</v>
      </c>
      <c r="BO97" s="744">
        <v>44</v>
      </c>
      <c r="BP97" s="744">
        <v>44</v>
      </c>
      <c r="BQ97" s="744">
        <v>44</v>
      </c>
      <c r="BR97" s="744">
        <v>44</v>
      </c>
      <c r="BS97" s="744">
        <v>44</v>
      </c>
      <c r="BT97" s="744">
        <v>44</v>
      </c>
      <c r="BU97" s="744">
        <v>44</v>
      </c>
      <c r="BV97" s="744">
        <v>44</v>
      </c>
      <c r="BW97" s="744">
        <v>44</v>
      </c>
      <c r="BX97" s="744">
        <v>44</v>
      </c>
      <c r="BY97" s="744">
        <v>44</v>
      </c>
      <c r="BZ97" s="744">
        <v>44</v>
      </c>
      <c r="CA97" s="744">
        <v>44</v>
      </c>
      <c r="CB97" s="744">
        <v>44</v>
      </c>
      <c r="CC97" s="744">
        <v>44</v>
      </c>
      <c r="CD97" s="744">
        <v>44</v>
      </c>
      <c r="CE97" s="744">
        <v>44</v>
      </c>
      <c r="CF97" s="744">
        <v>44</v>
      </c>
      <c r="CG97" s="744">
        <v>44</v>
      </c>
      <c r="CH97" s="744">
        <v>44</v>
      </c>
      <c r="CI97" s="744">
        <v>44</v>
      </c>
      <c r="CJ97" s="1474"/>
      <c r="CK97" s="1474"/>
      <c r="CL97" s="1474"/>
      <c r="CM97" s="1474"/>
      <c r="CN97" s="1474"/>
      <c r="CO97" s="1474"/>
    </row>
    <row r="98" spans="2:93" ht="28" x14ac:dyDescent="0.35">
      <c r="B98" s="746" t="s">
        <v>490</v>
      </c>
      <c r="C98" s="747" t="s">
        <v>491</v>
      </c>
      <c r="D98" s="747" t="s">
        <v>492</v>
      </c>
      <c r="E98" s="747" t="s">
        <v>305</v>
      </c>
      <c r="F98" s="748">
        <v>2</v>
      </c>
      <c r="G98" s="749"/>
      <c r="H98" s="750"/>
      <c r="I98" s="750"/>
      <c r="J98" s="750"/>
      <c r="K98" s="750"/>
      <c r="L98" s="750"/>
      <c r="M98" s="744"/>
      <c r="N98" s="744"/>
      <c r="O98" s="744"/>
      <c r="P98" s="744"/>
      <c r="Q98" s="744"/>
      <c r="R98" s="744"/>
      <c r="S98" s="744"/>
      <c r="T98" s="744"/>
      <c r="U98" s="744"/>
      <c r="V98" s="744"/>
      <c r="W98" s="744"/>
      <c r="X98" s="744"/>
      <c r="Y98" s="744"/>
      <c r="Z98" s="744"/>
      <c r="AA98" s="744"/>
      <c r="AB98" s="744"/>
      <c r="AC98" s="744"/>
      <c r="AD98" s="744"/>
      <c r="AE98" s="744"/>
      <c r="AF98" s="744"/>
      <c r="AG98" s="744"/>
      <c r="AH98" s="744"/>
      <c r="AI98" s="744"/>
      <c r="AJ98" s="744"/>
      <c r="AK98" s="744"/>
      <c r="AL98" s="744"/>
      <c r="AM98" s="744"/>
      <c r="AN98" s="744"/>
      <c r="AO98" s="744"/>
      <c r="AP98" s="744"/>
      <c r="AQ98" s="744"/>
      <c r="AR98" s="744"/>
      <c r="AS98" s="744"/>
      <c r="AT98" s="744"/>
      <c r="AU98" s="744"/>
      <c r="AV98" s="744"/>
      <c r="AW98" s="744"/>
      <c r="AX98" s="744"/>
      <c r="AY98" s="744"/>
      <c r="AZ98" s="744"/>
      <c r="BA98" s="744"/>
      <c r="BB98" s="744"/>
      <c r="BC98" s="744"/>
      <c r="BD98" s="744"/>
      <c r="BE98" s="744"/>
      <c r="BF98" s="744"/>
      <c r="BG98" s="744"/>
      <c r="BH98" s="744"/>
      <c r="BI98" s="744"/>
      <c r="BJ98" s="744"/>
      <c r="BK98" s="744"/>
      <c r="BL98" s="744"/>
      <c r="BM98" s="744"/>
      <c r="BN98" s="744"/>
      <c r="BO98" s="744"/>
      <c r="BP98" s="744"/>
      <c r="BQ98" s="744"/>
      <c r="BR98" s="744"/>
      <c r="BS98" s="744"/>
      <c r="BT98" s="744"/>
      <c r="BU98" s="744"/>
      <c r="BV98" s="744"/>
      <c r="BW98" s="744"/>
      <c r="BX98" s="744"/>
      <c r="BY98" s="744"/>
      <c r="BZ98" s="744"/>
      <c r="CA98" s="744"/>
      <c r="CB98" s="744"/>
      <c r="CC98" s="744"/>
      <c r="CD98" s="744"/>
      <c r="CE98" s="744"/>
      <c r="CF98" s="744"/>
      <c r="CG98" s="744"/>
      <c r="CH98" s="744"/>
      <c r="CI98" s="745"/>
      <c r="CJ98" s="1474"/>
      <c r="CK98" s="1474"/>
      <c r="CL98" s="1474"/>
      <c r="CM98" s="1474"/>
      <c r="CN98" s="1474"/>
      <c r="CO98" s="1474"/>
    </row>
    <row r="99" spans="2:93" ht="28" x14ac:dyDescent="0.35">
      <c r="B99" s="746" t="s">
        <v>493</v>
      </c>
      <c r="C99" s="747" t="s">
        <v>494</v>
      </c>
      <c r="D99" s="747" t="s">
        <v>495</v>
      </c>
      <c r="E99" s="747" t="s">
        <v>305</v>
      </c>
      <c r="F99" s="748">
        <v>2</v>
      </c>
      <c r="G99" s="749"/>
      <c r="H99" s="750"/>
      <c r="I99" s="750"/>
      <c r="J99" s="750"/>
      <c r="K99" s="750"/>
      <c r="L99" s="750"/>
      <c r="M99" s="744"/>
      <c r="N99" s="744"/>
      <c r="O99" s="744"/>
      <c r="P99" s="744"/>
      <c r="Q99" s="744"/>
      <c r="R99" s="744"/>
      <c r="S99" s="744"/>
      <c r="T99" s="744"/>
      <c r="U99" s="744"/>
      <c r="V99" s="744"/>
      <c r="W99" s="744"/>
      <c r="X99" s="744"/>
      <c r="Y99" s="744"/>
      <c r="Z99" s="744"/>
      <c r="AA99" s="744"/>
      <c r="AB99" s="744"/>
      <c r="AC99" s="744"/>
      <c r="AD99" s="744"/>
      <c r="AE99" s="744"/>
      <c r="AF99" s="744"/>
      <c r="AG99" s="744"/>
      <c r="AH99" s="744"/>
      <c r="AI99" s="744"/>
      <c r="AJ99" s="744"/>
      <c r="AK99" s="744"/>
      <c r="AL99" s="744"/>
      <c r="AM99" s="744"/>
      <c r="AN99" s="744"/>
      <c r="AO99" s="744"/>
      <c r="AP99" s="744"/>
      <c r="AQ99" s="744"/>
      <c r="AR99" s="744"/>
      <c r="AS99" s="744"/>
      <c r="AT99" s="744"/>
      <c r="AU99" s="744"/>
      <c r="AV99" s="744"/>
      <c r="AW99" s="744"/>
      <c r="AX99" s="744"/>
      <c r="AY99" s="744"/>
      <c r="AZ99" s="744"/>
      <c r="BA99" s="744"/>
      <c r="BB99" s="744"/>
      <c r="BC99" s="744"/>
      <c r="BD99" s="744"/>
      <c r="BE99" s="744"/>
      <c r="BF99" s="744"/>
      <c r="BG99" s="744"/>
      <c r="BH99" s="744"/>
      <c r="BI99" s="744"/>
      <c r="BJ99" s="744"/>
      <c r="BK99" s="744"/>
      <c r="BL99" s="744"/>
      <c r="BM99" s="744"/>
      <c r="BN99" s="744"/>
      <c r="BO99" s="744"/>
      <c r="BP99" s="744"/>
      <c r="BQ99" s="744"/>
      <c r="BR99" s="744"/>
      <c r="BS99" s="744"/>
      <c r="BT99" s="744"/>
      <c r="BU99" s="744"/>
      <c r="BV99" s="744"/>
      <c r="BW99" s="744"/>
      <c r="BX99" s="744"/>
      <c r="BY99" s="744"/>
      <c r="BZ99" s="744"/>
      <c r="CA99" s="744"/>
      <c r="CB99" s="744"/>
      <c r="CC99" s="744"/>
      <c r="CD99" s="744"/>
      <c r="CE99" s="744"/>
      <c r="CF99" s="744"/>
      <c r="CG99" s="744"/>
      <c r="CH99" s="744"/>
      <c r="CI99" s="745"/>
      <c r="CJ99" s="1474"/>
      <c r="CK99" s="1474"/>
      <c r="CL99" s="1474"/>
      <c r="CM99" s="1474"/>
      <c r="CN99" s="1474"/>
      <c r="CO99" s="1474"/>
    </row>
    <row r="100" spans="2:93" ht="28" x14ac:dyDescent="0.35">
      <c r="B100" s="751" t="s">
        <v>496</v>
      </c>
      <c r="C100" s="752" t="s">
        <v>497</v>
      </c>
      <c r="D100" s="752" t="s">
        <v>498</v>
      </c>
      <c r="E100" s="752" t="s">
        <v>305</v>
      </c>
      <c r="F100" s="748">
        <v>2</v>
      </c>
      <c r="G100" s="749"/>
      <c r="H100" s="750"/>
      <c r="I100" s="750"/>
      <c r="J100" s="750"/>
      <c r="K100" s="750"/>
      <c r="L100" s="750"/>
      <c r="M100" s="744"/>
      <c r="N100" s="744"/>
      <c r="O100" s="744"/>
      <c r="P100" s="744"/>
      <c r="Q100" s="744"/>
      <c r="R100" s="744">
        <v>12.5</v>
      </c>
      <c r="S100" s="744"/>
      <c r="T100" s="744"/>
      <c r="U100" s="744"/>
      <c r="V100" s="744"/>
      <c r="W100" s="744"/>
      <c r="X100" s="744"/>
      <c r="Y100" s="744"/>
      <c r="Z100" s="744"/>
      <c r="AA100" s="744"/>
      <c r="AB100" s="744"/>
      <c r="AC100" s="744"/>
      <c r="AD100" s="744"/>
      <c r="AE100" s="744"/>
      <c r="AF100" s="744"/>
      <c r="AG100" s="744"/>
      <c r="AH100" s="744"/>
      <c r="AI100" s="744"/>
      <c r="AJ100" s="744"/>
      <c r="AK100" s="744"/>
      <c r="AL100" s="744"/>
      <c r="AM100" s="744"/>
      <c r="AN100" s="744"/>
      <c r="AO100" s="744"/>
      <c r="AP100" s="744"/>
      <c r="AQ100" s="744"/>
      <c r="AR100" s="744"/>
      <c r="AS100" s="744"/>
      <c r="AT100" s="744"/>
      <c r="AU100" s="744"/>
      <c r="AV100" s="744"/>
      <c r="AW100" s="744"/>
      <c r="AX100" s="744"/>
      <c r="AY100" s="744"/>
      <c r="AZ100" s="744"/>
      <c r="BA100" s="744"/>
      <c r="BB100" s="744"/>
      <c r="BC100" s="744"/>
      <c r="BD100" s="744"/>
      <c r="BE100" s="744">
        <v>2</v>
      </c>
      <c r="BF100" s="744">
        <v>2</v>
      </c>
      <c r="BG100" s="744">
        <v>2</v>
      </c>
      <c r="BH100" s="744">
        <v>2</v>
      </c>
      <c r="BI100" s="744">
        <v>2</v>
      </c>
      <c r="BJ100" s="744">
        <v>2</v>
      </c>
      <c r="BK100" s="744">
        <v>2</v>
      </c>
      <c r="BL100" s="744">
        <v>2</v>
      </c>
      <c r="BM100" s="744">
        <v>2</v>
      </c>
      <c r="BN100" s="744">
        <v>2</v>
      </c>
      <c r="BO100" s="744">
        <v>2</v>
      </c>
      <c r="BP100" s="744">
        <v>2</v>
      </c>
      <c r="BQ100" s="744">
        <v>2</v>
      </c>
      <c r="BR100" s="744">
        <v>2</v>
      </c>
      <c r="BS100" s="744">
        <v>2</v>
      </c>
      <c r="BT100" s="744">
        <v>2</v>
      </c>
      <c r="BU100" s="744">
        <v>2</v>
      </c>
      <c r="BV100" s="744">
        <v>2</v>
      </c>
      <c r="BW100" s="744">
        <v>2</v>
      </c>
      <c r="BX100" s="744">
        <v>2</v>
      </c>
      <c r="BY100" s="744">
        <v>2</v>
      </c>
      <c r="BZ100" s="744">
        <v>2</v>
      </c>
      <c r="CA100" s="744">
        <v>2</v>
      </c>
      <c r="CB100" s="744">
        <v>2</v>
      </c>
      <c r="CC100" s="744">
        <v>2</v>
      </c>
      <c r="CD100" s="744">
        <v>2</v>
      </c>
      <c r="CE100" s="744">
        <v>2</v>
      </c>
      <c r="CF100" s="744">
        <v>2</v>
      </c>
      <c r="CG100" s="744">
        <v>2</v>
      </c>
      <c r="CH100" s="744">
        <v>2</v>
      </c>
      <c r="CI100" s="744">
        <v>2</v>
      </c>
      <c r="CJ100" s="1474"/>
      <c r="CK100" s="1474"/>
      <c r="CL100" s="1474"/>
      <c r="CM100" s="1474"/>
      <c r="CN100" s="1474"/>
      <c r="CO100" s="1474"/>
    </row>
    <row r="101" spans="2:93" x14ac:dyDescent="0.35">
      <c r="B101" s="746" t="s">
        <v>499</v>
      </c>
      <c r="C101" s="747" t="s">
        <v>500</v>
      </c>
      <c r="D101" s="747" t="s">
        <v>501</v>
      </c>
      <c r="E101" s="747" t="s">
        <v>305</v>
      </c>
      <c r="F101" s="748">
        <v>2</v>
      </c>
      <c r="G101" s="749"/>
      <c r="H101" s="750"/>
      <c r="I101" s="750"/>
      <c r="J101" s="750"/>
      <c r="K101" s="750"/>
      <c r="L101" s="750"/>
      <c r="M101" s="744"/>
      <c r="N101" s="744"/>
      <c r="O101" s="744"/>
      <c r="P101" s="744"/>
      <c r="Q101" s="744"/>
      <c r="R101" s="744"/>
      <c r="S101" s="744"/>
      <c r="T101" s="744"/>
      <c r="U101" s="744"/>
      <c r="V101" s="744"/>
      <c r="W101" s="744"/>
      <c r="X101" s="744"/>
      <c r="Y101" s="744"/>
      <c r="Z101" s="744"/>
      <c r="AA101" s="744"/>
      <c r="AB101" s="744">
        <v>7</v>
      </c>
      <c r="AC101" s="744">
        <v>7</v>
      </c>
      <c r="AD101" s="744">
        <v>7</v>
      </c>
      <c r="AE101" s="744">
        <v>7</v>
      </c>
      <c r="AF101" s="744">
        <v>7</v>
      </c>
      <c r="AG101" s="744">
        <v>7</v>
      </c>
      <c r="AH101" s="744">
        <v>7</v>
      </c>
      <c r="AI101" s="744">
        <v>7</v>
      </c>
      <c r="AJ101" s="744">
        <v>7</v>
      </c>
      <c r="AK101" s="744">
        <v>7</v>
      </c>
      <c r="AL101" s="744">
        <v>7</v>
      </c>
      <c r="AM101" s="744">
        <v>7</v>
      </c>
      <c r="AN101" s="744">
        <v>7</v>
      </c>
      <c r="AO101" s="744">
        <v>7</v>
      </c>
      <c r="AP101" s="744">
        <v>7</v>
      </c>
      <c r="AQ101" s="744">
        <v>7</v>
      </c>
      <c r="AR101" s="744">
        <v>7</v>
      </c>
      <c r="AS101" s="744">
        <v>7</v>
      </c>
      <c r="AT101" s="744">
        <v>7</v>
      </c>
      <c r="AU101" s="744">
        <v>7</v>
      </c>
      <c r="AV101" s="744">
        <v>7</v>
      </c>
      <c r="AW101" s="744">
        <v>7</v>
      </c>
      <c r="AX101" s="744">
        <v>7</v>
      </c>
      <c r="AY101" s="744">
        <v>7</v>
      </c>
      <c r="AZ101" s="744">
        <v>7</v>
      </c>
      <c r="BA101" s="744">
        <v>7</v>
      </c>
      <c r="BB101" s="744">
        <v>7</v>
      </c>
      <c r="BC101" s="744">
        <v>7</v>
      </c>
      <c r="BD101" s="744">
        <v>7</v>
      </c>
      <c r="BE101" s="744">
        <v>7</v>
      </c>
      <c r="BF101" s="744">
        <v>7</v>
      </c>
      <c r="BG101" s="744">
        <v>7</v>
      </c>
      <c r="BH101" s="744">
        <v>7</v>
      </c>
      <c r="BI101" s="744">
        <v>7</v>
      </c>
      <c r="BJ101" s="744">
        <v>7</v>
      </c>
      <c r="BK101" s="744">
        <v>7</v>
      </c>
      <c r="BL101" s="744">
        <v>7</v>
      </c>
      <c r="BM101" s="744">
        <v>7</v>
      </c>
      <c r="BN101" s="744">
        <v>7</v>
      </c>
      <c r="BO101" s="744">
        <v>7</v>
      </c>
      <c r="BP101" s="744">
        <v>7</v>
      </c>
      <c r="BQ101" s="744">
        <v>7</v>
      </c>
      <c r="BR101" s="744">
        <v>7</v>
      </c>
      <c r="BS101" s="744">
        <v>7</v>
      </c>
      <c r="BT101" s="744">
        <v>7</v>
      </c>
      <c r="BU101" s="744">
        <v>7</v>
      </c>
      <c r="BV101" s="744">
        <v>7</v>
      </c>
      <c r="BW101" s="744">
        <v>7</v>
      </c>
      <c r="BX101" s="744">
        <v>7</v>
      </c>
      <c r="BY101" s="744">
        <v>7</v>
      </c>
      <c r="BZ101" s="744">
        <v>7</v>
      </c>
      <c r="CA101" s="744">
        <v>7</v>
      </c>
      <c r="CB101" s="744">
        <v>7</v>
      </c>
      <c r="CC101" s="744">
        <v>7</v>
      </c>
      <c r="CD101" s="744">
        <v>7</v>
      </c>
      <c r="CE101" s="744">
        <v>7</v>
      </c>
      <c r="CF101" s="744">
        <v>7</v>
      </c>
      <c r="CG101" s="744">
        <v>7</v>
      </c>
      <c r="CH101" s="744">
        <v>7</v>
      </c>
      <c r="CI101" s="744">
        <v>7</v>
      </c>
      <c r="CJ101" s="1474"/>
      <c r="CK101" s="1474"/>
      <c r="CL101" s="1474"/>
      <c r="CM101" s="1474"/>
      <c r="CN101" s="1474"/>
      <c r="CO101" s="1474"/>
    </row>
    <row r="102" spans="2:93" ht="30.65" customHeight="1" x14ac:dyDescent="0.35">
      <c r="B102" s="753" t="s">
        <v>502</v>
      </c>
      <c r="C102" s="754" t="s">
        <v>503</v>
      </c>
      <c r="D102" s="755" t="s">
        <v>504</v>
      </c>
      <c r="E102" s="754" t="s">
        <v>305</v>
      </c>
      <c r="F102" s="756">
        <v>2</v>
      </c>
      <c r="G102" s="749"/>
      <c r="H102" s="750"/>
      <c r="I102" s="750"/>
      <c r="J102" s="750"/>
      <c r="K102" s="750"/>
      <c r="L102" s="750"/>
      <c r="M102" s="744"/>
      <c r="N102" s="744"/>
      <c r="O102" s="744"/>
      <c r="P102" s="744"/>
      <c r="Q102" s="744"/>
      <c r="R102" s="744"/>
      <c r="S102" s="744"/>
      <c r="T102" s="744"/>
      <c r="U102" s="744"/>
      <c r="V102" s="744"/>
      <c r="W102" s="744"/>
      <c r="X102" s="744"/>
      <c r="Y102" s="744"/>
      <c r="Z102" s="744"/>
      <c r="AA102" s="744"/>
      <c r="AB102" s="744"/>
      <c r="AC102" s="744"/>
      <c r="AD102" s="744"/>
      <c r="AE102" s="744"/>
      <c r="AF102" s="744"/>
      <c r="AG102" s="744"/>
      <c r="AH102" s="744"/>
      <c r="AI102" s="744"/>
      <c r="AJ102" s="744"/>
      <c r="AK102" s="744"/>
      <c r="AL102" s="744"/>
      <c r="AM102" s="744"/>
      <c r="AN102" s="744"/>
      <c r="AO102" s="744"/>
      <c r="AP102" s="744"/>
      <c r="AQ102" s="744"/>
      <c r="AR102" s="744"/>
      <c r="AS102" s="744"/>
      <c r="AT102" s="744"/>
      <c r="AU102" s="744"/>
      <c r="AV102" s="744"/>
      <c r="AW102" s="744"/>
      <c r="AX102" s="744"/>
      <c r="AY102" s="744"/>
      <c r="AZ102" s="744"/>
      <c r="BA102" s="744"/>
      <c r="BB102" s="744"/>
      <c r="BC102" s="744"/>
      <c r="BD102" s="744"/>
      <c r="BE102" s="744"/>
      <c r="BF102" s="744"/>
      <c r="BG102" s="744"/>
      <c r="BH102" s="744"/>
      <c r="BI102" s="744"/>
      <c r="BJ102" s="744"/>
      <c r="BK102" s="744"/>
      <c r="BL102" s="744"/>
      <c r="BM102" s="744"/>
      <c r="BN102" s="744"/>
      <c r="BO102" s="744"/>
      <c r="BP102" s="744"/>
      <c r="BQ102" s="744"/>
      <c r="BR102" s="744"/>
      <c r="BS102" s="744"/>
      <c r="BT102" s="744"/>
      <c r="BU102" s="744"/>
      <c r="BV102" s="744"/>
      <c r="BW102" s="744"/>
      <c r="BX102" s="744"/>
      <c r="BY102" s="744"/>
      <c r="BZ102" s="744"/>
      <c r="CA102" s="744"/>
      <c r="CB102" s="744"/>
      <c r="CC102" s="744"/>
      <c r="CD102" s="744"/>
      <c r="CE102" s="744"/>
      <c r="CF102" s="744"/>
      <c r="CG102" s="744"/>
      <c r="CH102" s="744"/>
      <c r="CI102" s="745"/>
      <c r="CJ102" s="1474"/>
      <c r="CK102" s="1474"/>
      <c r="CL102" s="1474"/>
      <c r="CM102" s="1474"/>
      <c r="CN102" s="1474"/>
      <c r="CO102" s="1474"/>
    </row>
    <row r="103" spans="2:93" ht="30.65" customHeight="1" x14ac:dyDescent="0.35">
      <c r="B103" s="753" t="s">
        <v>505</v>
      </c>
      <c r="C103" s="754" t="s">
        <v>506</v>
      </c>
      <c r="D103" s="755" t="s">
        <v>507</v>
      </c>
      <c r="E103" s="754" t="s">
        <v>305</v>
      </c>
      <c r="F103" s="756">
        <v>2</v>
      </c>
      <c r="G103" s="749">
        <v>8</v>
      </c>
      <c r="H103" s="750">
        <v>8</v>
      </c>
      <c r="I103" s="750">
        <v>8</v>
      </c>
      <c r="J103" s="750">
        <v>8</v>
      </c>
      <c r="K103" s="750">
        <v>8</v>
      </c>
      <c r="L103" s="750">
        <v>8</v>
      </c>
      <c r="M103" s="744">
        <v>8</v>
      </c>
      <c r="N103" s="744">
        <v>8</v>
      </c>
      <c r="O103" s="744">
        <v>8</v>
      </c>
      <c r="P103" s="744">
        <v>8</v>
      </c>
      <c r="Q103" s="744">
        <v>8</v>
      </c>
      <c r="R103" s="744">
        <v>8</v>
      </c>
      <c r="S103" s="744">
        <v>8</v>
      </c>
      <c r="T103" s="744">
        <v>8</v>
      </c>
      <c r="U103" s="744">
        <v>8</v>
      </c>
      <c r="V103" s="744">
        <v>8</v>
      </c>
      <c r="W103" s="744">
        <v>8</v>
      </c>
      <c r="X103" s="744">
        <v>8</v>
      </c>
      <c r="Y103" s="744">
        <v>8</v>
      </c>
      <c r="Z103" s="744">
        <v>8</v>
      </c>
      <c r="AA103" s="744">
        <v>8</v>
      </c>
      <c r="AB103" s="744">
        <v>8</v>
      </c>
      <c r="AC103" s="744">
        <v>8</v>
      </c>
      <c r="AD103" s="744">
        <v>8</v>
      </c>
      <c r="AE103" s="744">
        <v>8</v>
      </c>
      <c r="AF103" s="744">
        <v>8</v>
      </c>
      <c r="AG103" s="744">
        <v>8</v>
      </c>
      <c r="AH103" s="744">
        <v>8</v>
      </c>
      <c r="AI103" s="744">
        <v>8</v>
      </c>
      <c r="AJ103" s="744">
        <v>8</v>
      </c>
      <c r="AK103" s="744">
        <v>8</v>
      </c>
      <c r="AL103" s="744">
        <v>8</v>
      </c>
      <c r="AM103" s="744">
        <v>8</v>
      </c>
      <c r="AN103" s="744">
        <v>8</v>
      </c>
      <c r="AO103" s="744">
        <v>8</v>
      </c>
      <c r="AP103" s="744">
        <v>8</v>
      </c>
      <c r="AQ103" s="744">
        <v>8</v>
      </c>
      <c r="AR103" s="744">
        <v>8</v>
      </c>
      <c r="AS103" s="744">
        <v>8</v>
      </c>
      <c r="AT103" s="744">
        <v>8</v>
      </c>
      <c r="AU103" s="744">
        <v>8</v>
      </c>
      <c r="AV103" s="744">
        <v>8</v>
      </c>
      <c r="AW103" s="744">
        <v>8</v>
      </c>
      <c r="AX103" s="744">
        <v>8</v>
      </c>
      <c r="AY103" s="744">
        <v>8</v>
      </c>
      <c r="AZ103" s="744">
        <v>8</v>
      </c>
      <c r="BA103" s="744">
        <v>8</v>
      </c>
      <c r="BB103" s="744">
        <v>8</v>
      </c>
      <c r="BC103" s="744">
        <v>8</v>
      </c>
      <c r="BD103" s="744">
        <v>8</v>
      </c>
      <c r="BE103" s="744">
        <v>8</v>
      </c>
      <c r="BF103" s="744">
        <v>8</v>
      </c>
      <c r="BG103" s="744">
        <v>8</v>
      </c>
      <c r="BH103" s="744">
        <v>8</v>
      </c>
      <c r="BI103" s="744">
        <v>8</v>
      </c>
      <c r="BJ103" s="744">
        <v>8</v>
      </c>
      <c r="BK103" s="744">
        <v>8</v>
      </c>
      <c r="BL103" s="744">
        <v>8</v>
      </c>
      <c r="BM103" s="744">
        <v>8</v>
      </c>
      <c r="BN103" s="744">
        <v>8</v>
      </c>
      <c r="BO103" s="744">
        <v>8</v>
      </c>
      <c r="BP103" s="744">
        <v>8</v>
      </c>
      <c r="BQ103" s="744">
        <v>8</v>
      </c>
      <c r="BR103" s="744">
        <v>8</v>
      </c>
      <c r="BS103" s="744">
        <v>8</v>
      </c>
      <c r="BT103" s="744">
        <v>8</v>
      </c>
      <c r="BU103" s="744">
        <v>8</v>
      </c>
      <c r="BV103" s="744">
        <v>8</v>
      </c>
      <c r="BW103" s="744">
        <v>8</v>
      </c>
      <c r="BX103" s="744">
        <v>8</v>
      </c>
      <c r="BY103" s="744">
        <v>8</v>
      </c>
      <c r="BZ103" s="744">
        <v>8</v>
      </c>
      <c r="CA103" s="744">
        <v>8</v>
      </c>
      <c r="CB103" s="744">
        <v>8</v>
      </c>
      <c r="CC103" s="744">
        <v>8</v>
      </c>
      <c r="CD103" s="744">
        <v>8</v>
      </c>
      <c r="CE103" s="744">
        <v>8</v>
      </c>
      <c r="CF103" s="744">
        <v>8</v>
      </c>
      <c r="CG103" s="744">
        <v>8</v>
      </c>
      <c r="CH103" s="744">
        <v>8</v>
      </c>
      <c r="CI103" s="744">
        <v>8</v>
      </c>
      <c r="CJ103" s="1474"/>
      <c r="CK103" s="1474"/>
      <c r="CL103" s="1474"/>
      <c r="CM103" s="1474"/>
      <c r="CN103" s="1474"/>
      <c r="CO103" s="1474"/>
    </row>
    <row r="104" spans="2:93" ht="28" x14ac:dyDescent="0.35">
      <c r="B104" s="746" t="s">
        <v>508</v>
      </c>
      <c r="C104" s="747" t="s">
        <v>509</v>
      </c>
      <c r="D104" s="747" t="s">
        <v>510</v>
      </c>
      <c r="E104" s="747" t="s">
        <v>305</v>
      </c>
      <c r="F104" s="748">
        <v>2</v>
      </c>
      <c r="G104" s="749"/>
      <c r="H104" s="750"/>
      <c r="I104" s="750"/>
      <c r="J104" s="750"/>
      <c r="K104" s="750"/>
      <c r="L104" s="750"/>
      <c r="M104" s="744"/>
      <c r="N104" s="744"/>
      <c r="O104" s="744"/>
      <c r="P104" s="744"/>
      <c r="Q104" s="744"/>
      <c r="R104" s="744"/>
      <c r="S104" s="744"/>
      <c r="T104" s="744"/>
      <c r="U104" s="744"/>
      <c r="V104" s="744"/>
      <c r="W104" s="744"/>
      <c r="X104" s="744"/>
      <c r="Y104" s="744"/>
      <c r="Z104" s="744"/>
      <c r="AA104" s="744"/>
      <c r="AB104" s="744"/>
      <c r="AC104" s="744"/>
      <c r="AD104" s="744"/>
      <c r="AE104" s="744"/>
      <c r="AF104" s="744"/>
      <c r="AG104" s="744"/>
      <c r="AH104" s="744"/>
      <c r="AI104" s="744"/>
      <c r="AJ104" s="744"/>
      <c r="AK104" s="744"/>
      <c r="AL104" s="744"/>
      <c r="AM104" s="744"/>
      <c r="AN104" s="744"/>
      <c r="AO104" s="744"/>
      <c r="AP104" s="744"/>
      <c r="AQ104" s="744"/>
      <c r="AR104" s="744"/>
      <c r="AS104" s="744"/>
      <c r="AT104" s="744"/>
      <c r="AU104" s="744"/>
      <c r="AV104" s="744"/>
      <c r="AW104" s="744"/>
      <c r="AX104" s="744"/>
      <c r="AY104" s="744"/>
      <c r="AZ104" s="744"/>
      <c r="BA104" s="744"/>
      <c r="BB104" s="744"/>
      <c r="BC104" s="744"/>
      <c r="BD104" s="744"/>
      <c r="BE104" s="744"/>
      <c r="BF104" s="744"/>
      <c r="BG104" s="744"/>
      <c r="BH104" s="744"/>
      <c r="BI104" s="744"/>
      <c r="BJ104" s="744"/>
      <c r="BK104" s="744"/>
      <c r="BL104" s="744"/>
      <c r="BM104" s="744"/>
      <c r="BN104" s="744"/>
      <c r="BO104" s="744"/>
      <c r="BP104" s="744"/>
      <c r="BQ104" s="744"/>
      <c r="BR104" s="744"/>
      <c r="BS104" s="744"/>
      <c r="BT104" s="744"/>
      <c r="BU104" s="744"/>
      <c r="BV104" s="744"/>
      <c r="BW104" s="744"/>
      <c r="BX104" s="744"/>
      <c r="BY104" s="744"/>
      <c r="BZ104" s="744"/>
      <c r="CA104" s="744"/>
      <c r="CB104" s="744"/>
      <c r="CC104" s="744"/>
      <c r="CD104" s="744"/>
      <c r="CE104" s="744"/>
      <c r="CF104" s="744"/>
      <c r="CG104" s="744"/>
      <c r="CH104" s="744"/>
      <c r="CI104" s="745"/>
      <c r="CJ104" s="1474"/>
      <c r="CK104" s="1474"/>
      <c r="CL104" s="1474"/>
      <c r="CM104" s="1474"/>
      <c r="CN104" s="1474"/>
      <c r="CO104" s="1474"/>
    </row>
    <row r="105" spans="2:93" x14ac:dyDescent="0.35">
      <c r="B105" s="746" t="s">
        <v>511</v>
      </c>
      <c r="C105" s="747" t="s">
        <v>512</v>
      </c>
      <c r="D105" s="747" t="s">
        <v>513</v>
      </c>
      <c r="E105" s="747" t="s">
        <v>305</v>
      </c>
      <c r="F105" s="748">
        <v>2</v>
      </c>
      <c r="G105" s="749"/>
      <c r="H105" s="750"/>
      <c r="I105" s="750"/>
      <c r="J105" s="750"/>
      <c r="K105" s="750"/>
      <c r="L105" s="750"/>
      <c r="M105" s="744"/>
      <c r="N105" s="744"/>
      <c r="O105" s="744"/>
      <c r="P105" s="744"/>
      <c r="Q105" s="744"/>
      <c r="R105" s="744"/>
      <c r="S105" s="744"/>
      <c r="T105" s="744"/>
      <c r="U105" s="744"/>
      <c r="V105" s="744"/>
      <c r="W105" s="744"/>
      <c r="X105" s="744"/>
      <c r="Y105" s="744"/>
      <c r="Z105" s="744"/>
      <c r="AA105" s="744"/>
      <c r="AB105" s="744"/>
      <c r="AC105" s="744"/>
      <c r="AD105" s="744"/>
      <c r="AE105" s="744"/>
      <c r="AF105" s="744"/>
      <c r="AG105" s="744"/>
      <c r="AH105" s="744"/>
      <c r="AI105" s="744"/>
      <c r="AJ105" s="744"/>
      <c r="AK105" s="744"/>
      <c r="AL105" s="744"/>
      <c r="AM105" s="744"/>
      <c r="AN105" s="744"/>
      <c r="AO105" s="744"/>
      <c r="AP105" s="744"/>
      <c r="AQ105" s="744"/>
      <c r="AR105" s="744"/>
      <c r="AS105" s="744"/>
      <c r="AT105" s="744"/>
      <c r="AU105" s="744"/>
      <c r="AV105" s="744"/>
      <c r="AW105" s="744"/>
      <c r="AX105" s="744"/>
      <c r="AY105" s="744"/>
      <c r="AZ105" s="744"/>
      <c r="BA105" s="744"/>
      <c r="BB105" s="744"/>
      <c r="BC105" s="744"/>
      <c r="BD105" s="744"/>
      <c r="BE105" s="744"/>
      <c r="BF105" s="744"/>
      <c r="BG105" s="744"/>
      <c r="BH105" s="744"/>
      <c r="BI105" s="744"/>
      <c r="BJ105" s="744"/>
      <c r="BK105" s="744"/>
      <c r="BL105" s="744"/>
      <c r="BM105" s="744"/>
      <c r="BN105" s="744"/>
      <c r="BO105" s="744"/>
      <c r="BP105" s="744"/>
      <c r="BQ105" s="744"/>
      <c r="BR105" s="744"/>
      <c r="BS105" s="744"/>
      <c r="BT105" s="744"/>
      <c r="BU105" s="744"/>
      <c r="BV105" s="744"/>
      <c r="BW105" s="744"/>
      <c r="BX105" s="744"/>
      <c r="BY105" s="744"/>
      <c r="BZ105" s="744"/>
      <c r="CA105" s="744"/>
      <c r="CB105" s="744"/>
      <c r="CC105" s="744"/>
      <c r="CD105" s="744"/>
      <c r="CE105" s="744"/>
      <c r="CF105" s="744"/>
      <c r="CG105" s="744"/>
      <c r="CH105" s="744"/>
      <c r="CI105" s="745"/>
      <c r="CJ105" s="1474"/>
      <c r="CK105" s="1474"/>
      <c r="CL105" s="1474"/>
      <c r="CM105" s="1474"/>
      <c r="CN105" s="1474"/>
      <c r="CO105" s="1474"/>
    </row>
    <row r="106" spans="2:93" ht="14.5" thickBot="1" x14ac:dyDescent="0.4">
      <c r="B106" s="757" t="s">
        <v>514</v>
      </c>
      <c r="C106" s="758" t="s">
        <v>515</v>
      </c>
      <c r="D106" s="758" t="s">
        <v>516</v>
      </c>
      <c r="E106" s="758" t="s">
        <v>305</v>
      </c>
      <c r="F106" s="759">
        <v>2</v>
      </c>
      <c r="G106" s="760"/>
      <c r="H106" s="761"/>
      <c r="I106" s="761"/>
      <c r="J106" s="761"/>
      <c r="K106" s="761"/>
      <c r="L106" s="761"/>
      <c r="M106" s="762"/>
      <c r="N106" s="762"/>
      <c r="O106" s="762"/>
      <c r="P106" s="762"/>
      <c r="Q106" s="762"/>
      <c r="R106" s="762"/>
      <c r="S106" s="762"/>
      <c r="T106" s="762"/>
      <c r="U106" s="762"/>
      <c r="V106" s="762"/>
      <c r="W106" s="762"/>
      <c r="X106" s="762"/>
      <c r="Y106" s="762"/>
      <c r="Z106" s="762"/>
      <c r="AA106" s="762"/>
      <c r="AB106" s="762"/>
      <c r="AC106" s="762"/>
      <c r="AD106" s="762"/>
      <c r="AE106" s="762"/>
      <c r="AF106" s="762"/>
      <c r="AG106" s="762"/>
      <c r="AH106" s="762"/>
      <c r="AI106" s="762"/>
      <c r="AJ106" s="762"/>
      <c r="AK106" s="762"/>
      <c r="AL106" s="762"/>
      <c r="AM106" s="762"/>
      <c r="AN106" s="762"/>
      <c r="AO106" s="762"/>
      <c r="AP106" s="762"/>
      <c r="AQ106" s="762"/>
      <c r="AR106" s="762"/>
      <c r="AS106" s="762"/>
      <c r="AT106" s="762"/>
      <c r="AU106" s="762"/>
      <c r="AV106" s="762"/>
      <c r="AW106" s="762"/>
      <c r="AX106" s="762"/>
      <c r="AY106" s="762"/>
      <c r="AZ106" s="762"/>
      <c r="BA106" s="762"/>
      <c r="BB106" s="762"/>
      <c r="BC106" s="762"/>
      <c r="BD106" s="762"/>
      <c r="BE106" s="762"/>
      <c r="BF106" s="762"/>
      <c r="BG106" s="762"/>
      <c r="BH106" s="762"/>
      <c r="BI106" s="762"/>
      <c r="BJ106" s="762"/>
      <c r="BK106" s="762"/>
      <c r="BL106" s="762"/>
      <c r="BM106" s="762"/>
      <c r="BN106" s="762"/>
      <c r="BO106" s="762"/>
      <c r="BP106" s="762"/>
      <c r="BQ106" s="762"/>
      <c r="BR106" s="762"/>
      <c r="BS106" s="762"/>
      <c r="BT106" s="762"/>
      <c r="BU106" s="762"/>
      <c r="BV106" s="762"/>
      <c r="BW106" s="762"/>
      <c r="BX106" s="762"/>
      <c r="BY106" s="762"/>
      <c r="BZ106" s="762"/>
      <c r="CA106" s="762"/>
      <c r="CB106" s="762"/>
      <c r="CC106" s="762"/>
      <c r="CD106" s="762"/>
      <c r="CE106" s="762"/>
      <c r="CF106" s="762"/>
      <c r="CG106" s="762"/>
      <c r="CH106" s="762"/>
      <c r="CI106" s="763"/>
      <c r="CJ106" s="1474"/>
      <c r="CK106" s="1474"/>
      <c r="CL106" s="1474"/>
      <c r="CM106" s="1474"/>
      <c r="CN106" s="1474"/>
      <c r="CO106" s="1474"/>
    </row>
    <row r="107" spans="2:93" s="1618" customFormat="1" ht="56" x14ac:dyDescent="0.35">
      <c r="B107" s="764" t="s">
        <v>517</v>
      </c>
      <c r="C107" s="765" t="s">
        <v>2192</v>
      </c>
      <c r="D107" s="766" t="s">
        <v>518</v>
      </c>
      <c r="E107" s="765" t="s">
        <v>305</v>
      </c>
      <c r="F107" s="767">
        <v>2</v>
      </c>
      <c r="G107" s="741"/>
      <c r="H107" s="742"/>
      <c r="I107" s="742"/>
      <c r="J107" s="742"/>
      <c r="K107" s="742"/>
      <c r="L107" s="742"/>
      <c r="M107" s="743">
        <v>-0.379</v>
      </c>
      <c r="N107" s="743">
        <v>-0.75800000000000001</v>
      </c>
      <c r="O107" s="743">
        <v>-1.137</v>
      </c>
      <c r="P107" s="743">
        <v>-1.516</v>
      </c>
      <c r="Q107" s="743">
        <v>-1.895</v>
      </c>
      <c r="R107" s="743">
        <v>-2.1420000000000003</v>
      </c>
      <c r="S107" s="743">
        <v>-2.3890000000000002</v>
      </c>
      <c r="T107" s="743">
        <v>-2.6360000000000001</v>
      </c>
      <c r="U107" s="743">
        <v>-2.883</v>
      </c>
      <c r="V107" s="743">
        <v>-3.13</v>
      </c>
      <c r="W107" s="743">
        <v>-3.13</v>
      </c>
      <c r="X107" s="743">
        <v>-3.13</v>
      </c>
      <c r="Y107" s="743">
        <v>-3.13</v>
      </c>
      <c r="Z107" s="743">
        <v>-3.13</v>
      </c>
      <c r="AA107" s="743">
        <v>-3.13</v>
      </c>
      <c r="AB107" s="743">
        <v>-3.13</v>
      </c>
      <c r="AC107" s="743">
        <v>-3.13</v>
      </c>
      <c r="AD107" s="743">
        <v>-3.13</v>
      </c>
      <c r="AE107" s="743">
        <v>-3.13</v>
      </c>
      <c r="AF107" s="743">
        <v>-3.13</v>
      </c>
      <c r="AG107" s="743">
        <v>-3.13</v>
      </c>
      <c r="AH107" s="743">
        <v>-3.13</v>
      </c>
      <c r="AI107" s="743">
        <v>-3.13</v>
      </c>
      <c r="AJ107" s="743">
        <v>-3.13</v>
      </c>
      <c r="AK107" s="743">
        <v>-3.13</v>
      </c>
      <c r="AL107" s="743">
        <v>-3.13</v>
      </c>
      <c r="AM107" s="743">
        <v>-3.13</v>
      </c>
      <c r="AN107" s="743">
        <v>-3.13</v>
      </c>
      <c r="AO107" s="743">
        <v>-3.13</v>
      </c>
      <c r="AP107" s="743">
        <v>-3.13</v>
      </c>
      <c r="AQ107" s="743">
        <v>-3.13</v>
      </c>
      <c r="AR107" s="743">
        <v>-3.13</v>
      </c>
      <c r="AS107" s="743">
        <v>-3.13</v>
      </c>
      <c r="AT107" s="743">
        <v>-3.13</v>
      </c>
      <c r="AU107" s="743">
        <v>-3.13</v>
      </c>
      <c r="AV107" s="743">
        <v>-3.13</v>
      </c>
      <c r="AW107" s="743">
        <v>-3.13</v>
      </c>
      <c r="AX107" s="743">
        <v>-3.13</v>
      </c>
      <c r="AY107" s="743">
        <v>-3.13</v>
      </c>
      <c r="AZ107" s="743">
        <v>-3.13</v>
      </c>
      <c r="BA107" s="743">
        <v>-3.13</v>
      </c>
      <c r="BB107" s="743">
        <v>-3.13</v>
      </c>
      <c r="BC107" s="743">
        <v>-3.13</v>
      </c>
      <c r="BD107" s="743">
        <v>-3.13</v>
      </c>
      <c r="BE107" s="743">
        <v>-3.13</v>
      </c>
      <c r="BF107" s="743">
        <v>-3.13</v>
      </c>
      <c r="BG107" s="743">
        <v>-3.13</v>
      </c>
      <c r="BH107" s="743">
        <v>-3.13</v>
      </c>
      <c r="BI107" s="743">
        <v>-3.13</v>
      </c>
      <c r="BJ107" s="743">
        <v>-3.13</v>
      </c>
      <c r="BK107" s="743">
        <v>-3.13</v>
      </c>
      <c r="BL107" s="743">
        <v>-3.13</v>
      </c>
      <c r="BM107" s="743">
        <v>-3.13</v>
      </c>
      <c r="BN107" s="743">
        <v>-3.13</v>
      </c>
      <c r="BO107" s="743">
        <v>-3.13</v>
      </c>
      <c r="BP107" s="743">
        <v>-3.13</v>
      </c>
      <c r="BQ107" s="743">
        <v>-3.13</v>
      </c>
      <c r="BR107" s="743">
        <v>-3.13</v>
      </c>
      <c r="BS107" s="743">
        <v>-3.13</v>
      </c>
      <c r="BT107" s="743">
        <v>-3.13</v>
      </c>
      <c r="BU107" s="743">
        <v>-3.13</v>
      </c>
      <c r="BV107" s="743">
        <v>-3.13</v>
      </c>
      <c r="BW107" s="743">
        <v>-3.13</v>
      </c>
      <c r="BX107" s="743">
        <v>-3.13</v>
      </c>
      <c r="BY107" s="743">
        <v>-3.13</v>
      </c>
      <c r="BZ107" s="743">
        <v>-3.13</v>
      </c>
      <c r="CA107" s="743">
        <v>-3.13</v>
      </c>
      <c r="CB107" s="743">
        <v>-3.13</v>
      </c>
      <c r="CC107" s="743">
        <v>-3.13</v>
      </c>
      <c r="CD107" s="743">
        <v>-3.13</v>
      </c>
      <c r="CE107" s="743">
        <v>-3.13</v>
      </c>
      <c r="CF107" s="743">
        <v>-3.13</v>
      </c>
      <c r="CG107" s="743">
        <v>-3.13</v>
      </c>
      <c r="CH107" s="743">
        <v>-3.13</v>
      </c>
      <c r="CI107" s="743">
        <v>-3.13</v>
      </c>
      <c r="CJ107" s="1474"/>
      <c r="CK107" s="1474"/>
      <c r="CL107" s="1474"/>
      <c r="CM107" s="1474"/>
      <c r="CN107" s="1474"/>
      <c r="CO107" s="1474"/>
    </row>
    <row r="108" spans="2:93" s="1618" customFormat="1" ht="56" x14ac:dyDescent="0.35">
      <c r="B108" s="768" t="s">
        <v>519</v>
      </c>
      <c r="C108" s="769" t="s">
        <v>2193</v>
      </c>
      <c r="D108" s="770" t="s">
        <v>520</v>
      </c>
      <c r="E108" s="769" t="s">
        <v>305</v>
      </c>
      <c r="F108" s="771">
        <v>2</v>
      </c>
      <c r="G108" s="749"/>
      <c r="H108" s="750"/>
      <c r="I108" s="750"/>
      <c r="J108" s="750"/>
      <c r="K108" s="750"/>
      <c r="L108" s="750"/>
      <c r="M108" s="1658">
        <v>-9.0999999999999998E-2</v>
      </c>
      <c r="N108" s="1658">
        <v>-0.182</v>
      </c>
      <c r="O108" s="1658">
        <v>-0.27300000000000002</v>
      </c>
      <c r="P108" s="1658">
        <v>-0.36399999999999999</v>
      </c>
      <c r="Q108" s="1658">
        <v>-0.45499999999999996</v>
      </c>
      <c r="R108" s="1658">
        <v>-0.54600000000000004</v>
      </c>
      <c r="S108" s="1658">
        <v>-0.63700000000000001</v>
      </c>
      <c r="T108" s="1658">
        <v>-0.72799999999999998</v>
      </c>
      <c r="U108" s="1658">
        <v>-0.81899999999999995</v>
      </c>
      <c r="V108" s="1658">
        <v>-0.90999999999999992</v>
      </c>
      <c r="W108" s="1658">
        <v>-0.90999999999999992</v>
      </c>
      <c r="X108" s="1658">
        <v>-0.90999999999999992</v>
      </c>
      <c r="Y108" s="1658">
        <v>-0.90999999999999992</v>
      </c>
      <c r="Z108" s="1658">
        <v>-0.90999999999999992</v>
      </c>
      <c r="AA108" s="1658">
        <v>-0.90999999999999992</v>
      </c>
      <c r="AB108" s="1658">
        <v>-0.90999999999999992</v>
      </c>
      <c r="AC108" s="1658">
        <v>-0.90999999999999992</v>
      </c>
      <c r="AD108" s="1658">
        <v>-0.90999999999999992</v>
      </c>
      <c r="AE108" s="1658">
        <v>-0.90999999999999992</v>
      </c>
      <c r="AF108" s="1658">
        <v>-0.90999999999999992</v>
      </c>
      <c r="AG108" s="1658">
        <v>-0.90999999999999992</v>
      </c>
      <c r="AH108" s="1658">
        <v>-0.90999999999999992</v>
      </c>
      <c r="AI108" s="1658">
        <v>-0.90999999999999992</v>
      </c>
      <c r="AJ108" s="1658">
        <v>-0.90999999999999992</v>
      </c>
      <c r="AK108" s="1658">
        <v>-0.90999999999999992</v>
      </c>
      <c r="AL108" s="1658">
        <v>-0.90999999999999992</v>
      </c>
      <c r="AM108" s="1658">
        <v>-0.90999999999999992</v>
      </c>
      <c r="AN108" s="1658">
        <v>-0.90999999999999992</v>
      </c>
      <c r="AO108" s="1658">
        <v>-0.90999999999999992</v>
      </c>
      <c r="AP108" s="1658">
        <v>-0.90999999999999992</v>
      </c>
      <c r="AQ108" s="1658">
        <v>-0.90999999999999992</v>
      </c>
      <c r="AR108" s="1658">
        <v>-0.90999999999999992</v>
      </c>
      <c r="AS108" s="1658">
        <v>-0.90999999999999992</v>
      </c>
      <c r="AT108" s="1658">
        <v>-0.90999999999999992</v>
      </c>
      <c r="AU108" s="1658">
        <v>-0.90999999999999992</v>
      </c>
      <c r="AV108" s="1658">
        <v>-0.90999999999999992</v>
      </c>
      <c r="AW108" s="1658">
        <v>-0.90999999999999992</v>
      </c>
      <c r="AX108" s="1658">
        <v>-0.90999999999999992</v>
      </c>
      <c r="AY108" s="1658">
        <v>-0.90999999999999992</v>
      </c>
      <c r="AZ108" s="1658">
        <v>-0.90999999999999992</v>
      </c>
      <c r="BA108" s="1658">
        <v>-0.90999999999999992</v>
      </c>
      <c r="BB108" s="1658">
        <v>-0.90999999999999992</v>
      </c>
      <c r="BC108" s="1658">
        <v>-0.90999999999999992</v>
      </c>
      <c r="BD108" s="1658">
        <v>-0.90999999999999992</v>
      </c>
      <c r="BE108" s="1658">
        <v>-0.90999999999999992</v>
      </c>
      <c r="BF108" s="1658">
        <v>-0.90999999999999992</v>
      </c>
      <c r="BG108" s="1658">
        <v>-0.90999999999999992</v>
      </c>
      <c r="BH108" s="1658">
        <v>-0.90999999999999992</v>
      </c>
      <c r="BI108" s="1658">
        <v>-0.90999999999999992</v>
      </c>
      <c r="BJ108" s="1658">
        <v>-0.90999999999999992</v>
      </c>
      <c r="BK108" s="1658">
        <v>-0.90999999999999992</v>
      </c>
      <c r="BL108" s="1658">
        <v>-0.90999999999999992</v>
      </c>
      <c r="BM108" s="1658">
        <v>-0.90999999999999992</v>
      </c>
      <c r="BN108" s="1658">
        <v>-0.90999999999999992</v>
      </c>
      <c r="BO108" s="1658">
        <v>-0.90999999999999992</v>
      </c>
      <c r="BP108" s="1658">
        <v>-0.90999999999999992</v>
      </c>
      <c r="BQ108" s="1658">
        <v>-0.90999999999999992</v>
      </c>
      <c r="BR108" s="1658">
        <v>-0.90999999999999992</v>
      </c>
      <c r="BS108" s="1658">
        <v>-0.90999999999999992</v>
      </c>
      <c r="BT108" s="1658">
        <v>-0.90999999999999992</v>
      </c>
      <c r="BU108" s="1658">
        <v>-0.90999999999999992</v>
      </c>
      <c r="BV108" s="1658">
        <v>-0.90999999999999992</v>
      </c>
      <c r="BW108" s="1658">
        <v>-0.90999999999999992</v>
      </c>
      <c r="BX108" s="1658">
        <v>-0.90999999999999992</v>
      </c>
      <c r="BY108" s="1658">
        <v>-0.90999999999999992</v>
      </c>
      <c r="BZ108" s="1658">
        <v>-0.90999999999999992</v>
      </c>
      <c r="CA108" s="1658">
        <v>-0.90999999999999992</v>
      </c>
      <c r="CB108" s="1658">
        <v>-0.90999999999999992</v>
      </c>
      <c r="CC108" s="1658">
        <v>-0.90999999999999992</v>
      </c>
      <c r="CD108" s="1658">
        <v>-0.90999999999999992</v>
      </c>
      <c r="CE108" s="1658">
        <v>-0.90999999999999992</v>
      </c>
      <c r="CF108" s="1658">
        <v>-0.90999999999999992</v>
      </c>
      <c r="CG108" s="1658">
        <v>-0.90999999999999992</v>
      </c>
      <c r="CH108" s="1658">
        <v>-0.90999999999999992</v>
      </c>
      <c r="CI108" s="1658">
        <v>-0.90999999999999992</v>
      </c>
      <c r="CJ108" s="1474"/>
      <c r="CK108" s="1474"/>
      <c r="CL108" s="1474"/>
      <c r="CM108" s="1474"/>
      <c r="CN108" s="1474"/>
      <c r="CO108" s="1474"/>
    </row>
    <row r="109" spans="2:93" s="1618" customFormat="1" ht="56" x14ac:dyDescent="0.35">
      <c r="B109" s="768" t="s">
        <v>521</v>
      </c>
      <c r="C109" s="769" t="s">
        <v>2181</v>
      </c>
      <c r="D109" s="770" t="s">
        <v>522</v>
      </c>
      <c r="E109" s="769" t="s">
        <v>305</v>
      </c>
      <c r="F109" s="771">
        <v>2</v>
      </c>
      <c r="G109" s="749"/>
      <c r="H109" s="750"/>
      <c r="I109" s="750"/>
      <c r="J109" s="750"/>
      <c r="K109" s="750"/>
      <c r="L109" s="750"/>
      <c r="M109" s="744">
        <v>0.41647867818181894</v>
      </c>
      <c r="N109" s="744">
        <v>0.86168486636364094</v>
      </c>
      <c r="O109" s="744">
        <v>1.3141452345454598</v>
      </c>
      <c r="P109" s="744">
        <v>1.7718681027272791</v>
      </c>
      <c r="Q109" s="744">
        <v>2.0966802279774153</v>
      </c>
      <c r="R109" s="744">
        <v>2.4778430872086039</v>
      </c>
      <c r="S109" s="744">
        <v>2.8548167166958556</v>
      </c>
      <c r="T109" s="744">
        <v>3.2326228095675695</v>
      </c>
      <c r="U109" s="744">
        <v>3.6141089340845323</v>
      </c>
      <c r="V109" s="744">
        <v>3.999819518519713</v>
      </c>
      <c r="W109" s="744">
        <v>4.4738581082530615</v>
      </c>
      <c r="X109" s="744">
        <v>3.8228790444622023</v>
      </c>
      <c r="Y109" s="744">
        <v>3.1771866790392416</v>
      </c>
      <c r="Z109" s="744">
        <v>2.5363158616672381</v>
      </c>
      <c r="AA109" s="744">
        <v>1.8979959822954129</v>
      </c>
      <c r="AB109" s="744">
        <v>1.2630874803233878</v>
      </c>
      <c r="AC109" s="744">
        <v>0.63268806077917183</v>
      </c>
      <c r="AD109" s="744">
        <v>6.5462258667405848E-3</v>
      </c>
      <c r="AE109" s="744">
        <v>-0.61554549268517267</v>
      </c>
      <c r="AF109" s="744">
        <v>-1.2341093560592462</v>
      </c>
      <c r="AG109" s="744">
        <v>-1.5891384962818389</v>
      </c>
      <c r="AH109" s="744">
        <v>-1.9384959224543934</v>
      </c>
      <c r="AI109" s="744">
        <v>-2.2821411058613386</v>
      </c>
      <c r="AJ109" s="744">
        <v>-2.6200574908297316</v>
      </c>
      <c r="AK109" s="744">
        <v>-2.9521352181219171</v>
      </c>
      <c r="AL109" s="744">
        <v>-3.2445532681082998</v>
      </c>
      <c r="AM109" s="744">
        <v>-3.532254800185278</v>
      </c>
      <c r="AN109" s="744">
        <v>-3.8157595639304667</v>
      </c>
      <c r="AO109" s="744">
        <v>-3.9854433297068361</v>
      </c>
      <c r="AP109" s="744">
        <v>-4.1512051645245407</v>
      </c>
      <c r="AQ109" s="744">
        <v>-4.3131156794729471</v>
      </c>
      <c r="AR109" s="744">
        <v>-4.4710104672665327</v>
      </c>
      <c r="AS109" s="744">
        <v>-4.624354025319068</v>
      </c>
      <c r="AT109" s="744">
        <v>-4.7734749306446425</v>
      </c>
      <c r="AU109" s="744">
        <v>-4.9190169440769012</v>
      </c>
      <c r="AV109" s="744">
        <v>-5.060801903420499</v>
      </c>
      <c r="AW109" s="744">
        <v>-5.1990044805882167</v>
      </c>
      <c r="AX109" s="744">
        <v>-5.3338100516860258</v>
      </c>
      <c r="AY109" s="744">
        <v>-5.4653038021257601</v>
      </c>
      <c r="AZ109" s="744">
        <v>-5.593717884867667</v>
      </c>
      <c r="BA109" s="744">
        <v>-5.7191430222182493</v>
      </c>
      <c r="BB109" s="744">
        <v>-5.8415867354033377</v>
      </c>
      <c r="BC109" s="744">
        <v>-5.9609737080454792</v>
      </c>
      <c r="BD109" s="744">
        <v>-6.0776248141421263</v>
      </c>
      <c r="BE109" s="744">
        <v>-6.1915438897175168</v>
      </c>
      <c r="BF109" s="744">
        <v>-6.302839769722576</v>
      </c>
      <c r="BG109" s="744">
        <v>-6.4117674834075551</v>
      </c>
      <c r="BH109" s="744">
        <v>-6.5183539737941096</v>
      </c>
      <c r="BI109" s="744">
        <v>-6.62268984977492</v>
      </c>
      <c r="BJ109" s="744">
        <v>-6.7247138550133112</v>
      </c>
      <c r="BK109" s="744">
        <v>-6.8245406003112752</v>
      </c>
      <c r="BL109" s="744">
        <v>-6.9222262760967812</v>
      </c>
      <c r="BM109" s="744">
        <v>-7.0179231388041305</v>
      </c>
      <c r="BN109" s="744">
        <v>-7.1117956402457772</v>
      </c>
      <c r="BO109" s="744">
        <v>-7.2038410159730759</v>
      </c>
      <c r="BP109" s="744">
        <v>-7.2942064319277122</v>
      </c>
      <c r="BQ109" s="744">
        <v>-7.3828673935129494</v>
      </c>
      <c r="BR109" s="744">
        <v>-7.4698722723406181</v>
      </c>
      <c r="BS109" s="744">
        <v>-7.5550655709597674</v>
      </c>
      <c r="BT109" s="744">
        <v>-7.6385581492698922</v>
      </c>
      <c r="BU109" s="744">
        <v>-7.7203480002050586</v>
      </c>
      <c r="BV109" s="744">
        <v>-7.800544980008052</v>
      </c>
      <c r="BW109" s="744">
        <v>-7.8789706448893604</v>
      </c>
      <c r="BX109" s="744">
        <v>-7.9557517167030394</v>
      </c>
      <c r="BY109" s="744">
        <v>-8.0309022355935014</v>
      </c>
      <c r="BZ109" s="744">
        <v>-8.1044710279145971</v>
      </c>
      <c r="CA109" s="744">
        <v>-8.1764254264281568</v>
      </c>
      <c r="CB109" s="744">
        <v>-8.2468261090457773</v>
      </c>
      <c r="CC109" s="744">
        <v>-8.3155962164520485</v>
      </c>
      <c r="CD109" s="744">
        <v>-8.3828456444908177</v>
      </c>
      <c r="CE109" s="744">
        <v>-8.4484849130699846</v>
      </c>
      <c r="CF109" s="744">
        <v>-8.5125674277827024</v>
      </c>
      <c r="CG109" s="744">
        <v>-8.5751142891048797</v>
      </c>
      <c r="CH109" s="744">
        <v>-8.6361956630190022</v>
      </c>
      <c r="CI109" s="744">
        <v>-8.6957643259999795</v>
      </c>
      <c r="CJ109" s="1474"/>
      <c r="CK109" s="1474"/>
      <c r="CL109" s="1474"/>
      <c r="CM109" s="1474"/>
      <c r="CN109" s="1474"/>
      <c r="CO109" s="1474"/>
    </row>
    <row r="110" spans="2:93" s="1618" customFormat="1" ht="56" x14ac:dyDescent="0.35">
      <c r="B110" s="768" t="s">
        <v>523</v>
      </c>
      <c r="C110" s="769" t="s">
        <v>2182</v>
      </c>
      <c r="D110" s="770" t="s">
        <v>524</v>
      </c>
      <c r="E110" s="769" t="s">
        <v>305</v>
      </c>
      <c r="F110" s="771">
        <v>2</v>
      </c>
      <c r="G110" s="749"/>
      <c r="H110" s="750"/>
      <c r="I110" s="750"/>
      <c r="J110" s="750"/>
      <c r="K110" s="750"/>
      <c r="L110" s="750"/>
      <c r="M110" s="744">
        <v>-0.75447867818182068</v>
      </c>
      <c r="N110" s="744">
        <v>-1.5376848663636391</v>
      </c>
      <c r="O110" s="744">
        <v>-2.3281452345454614</v>
      </c>
      <c r="P110" s="744">
        <v>-3.1238681027272808</v>
      </c>
      <c r="Q110" s="744">
        <v>-3.9215409609091001</v>
      </c>
      <c r="R110" s="744">
        <v>-4.7414236790909214</v>
      </c>
      <c r="S110" s="744">
        <v>-5.5601207172727403</v>
      </c>
      <c r="T110" s="744">
        <v>-6.3809818454545599</v>
      </c>
      <c r="U110" s="744">
        <v>-7.2081173236363796</v>
      </c>
      <c r="V110" s="744">
        <v>-8.0422782418181988</v>
      </c>
      <c r="W110" s="744">
        <v>-8.8835738800000215</v>
      </c>
      <c r="X110" s="744">
        <v>-8.6028765900000206</v>
      </c>
      <c r="Y110" s="744">
        <v>-8.3304786900000209</v>
      </c>
      <c r="Z110" s="744">
        <v>-8.0680409500000216</v>
      </c>
      <c r="AA110" s="744">
        <v>-7.8098698000000208</v>
      </c>
      <c r="AB110" s="744">
        <v>-7.5587469530000213</v>
      </c>
      <c r="AC110" s="744">
        <v>-7.3152925220000213</v>
      </c>
      <c r="AD110" s="744">
        <v>-7.0790150100000204</v>
      </c>
      <c r="AE110" s="744">
        <v>-6.8499713750000204</v>
      </c>
      <c r="AF110" s="744">
        <v>-6.6270136150000205</v>
      </c>
      <c r="AG110" s="744">
        <v>-6.409257638000021</v>
      </c>
      <c r="AH110" s="744">
        <v>-6.1972037410000205</v>
      </c>
      <c r="AI110" s="744">
        <v>-5.9912959320000212</v>
      </c>
      <c r="AJ110" s="744">
        <v>-5.7909868520000209</v>
      </c>
      <c r="AK110" s="744">
        <v>-5.5956585790000215</v>
      </c>
      <c r="AL110" s="744">
        <v>-5.4169225880000216</v>
      </c>
      <c r="AM110" s="744">
        <v>-5.2429352710000217</v>
      </c>
      <c r="AN110" s="744">
        <v>-5.0732138050000213</v>
      </c>
      <c r="AO110" s="744">
        <v>-4.9076176920000218</v>
      </c>
      <c r="AP110" s="744">
        <v>-4.7458497480000208</v>
      </c>
      <c r="AQ110" s="744">
        <v>-4.5875352110000209</v>
      </c>
      <c r="AR110" s="744">
        <v>-4.4332752760000211</v>
      </c>
      <c r="AS110" s="744">
        <v>-4.2833269300000207</v>
      </c>
      <c r="AT110" s="744">
        <v>-4.1372711830000206</v>
      </c>
      <c r="AU110" s="744">
        <v>-3.9946642690000207</v>
      </c>
      <c r="AV110" s="744">
        <v>-3.855513617000021</v>
      </c>
      <c r="AW110" s="744">
        <v>-3.7198661990000206</v>
      </c>
      <c r="AX110" s="744">
        <v>-3.5875002240000207</v>
      </c>
      <c r="AY110" s="744">
        <v>-3.4581573790000206</v>
      </c>
      <c r="AZ110" s="744">
        <v>-3.3317990270000211</v>
      </c>
      <c r="BA110" s="744">
        <v>-3.2083997250000209</v>
      </c>
      <c r="BB110" s="744">
        <v>-3.0881678490000208</v>
      </c>
      <c r="BC110" s="744">
        <v>-2.9710361510000212</v>
      </c>
      <c r="BD110" s="744">
        <v>-2.8567874860000204</v>
      </c>
      <c r="BE110" s="744">
        <v>-2.7453385390000209</v>
      </c>
      <c r="BF110" s="744">
        <v>-2.6366094210000206</v>
      </c>
      <c r="BG110" s="744">
        <v>-2.5305981520000209</v>
      </c>
      <c r="BH110" s="744">
        <v>-2.4271765660000204</v>
      </c>
      <c r="BI110" s="744">
        <v>-2.3263702390000205</v>
      </c>
      <c r="BJ110" s="744">
        <v>-2.228168735000021</v>
      </c>
      <c r="BK110" s="744">
        <v>-2.1323677370000205</v>
      </c>
      <c r="BL110" s="744">
        <v>-2.039080412000021</v>
      </c>
      <c r="BM110" s="744">
        <v>-1.9481705140000205</v>
      </c>
      <c r="BN110" s="744">
        <v>-1.8594317000000204</v>
      </c>
      <c r="BO110" s="744">
        <v>-1.7728585970000212</v>
      </c>
      <c r="BP110" s="744">
        <v>-1.6882258600000206</v>
      </c>
      <c r="BQ110" s="744">
        <v>-1.6055660460000212</v>
      </c>
      <c r="BR110" s="744">
        <v>-1.5248453520000211</v>
      </c>
      <c r="BS110" s="744">
        <v>-1.4461065300000211</v>
      </c>
      <c r="BT110" s="744">
        <v>-1.3692499990000213</v>
      </c>
      <c r="BU110" s="744">
        <v>-1.294181543000021</v>
      </c>
      <c r="BV110" s="744">
        <v>-1.2208746750000214</v>
      </c>
      <c r="BW110" s="744">
        <v>-1.1493299490000206</v>
      </c>
      <c r="BX110" s="744">
        <v>-1.079450828000021</v>
      </c>
      <c r="BY110" s="744">
        <v>-1.0111723680000209</v>
      </c>
      <c r="BZ110" s="744">
        <v>-0.94438643000002109</v>
      </c>
      <c r="CA110" s="744">
        <v>-0.87917284000002116</v>
      </c>
      <c r="CB110" s="744">
        <v>-0.81550039500002125</v>
      </c>
      <c r="CC110" s="744">
        <v>-0.753435226000021</v>
      </c>
      <c r="CD110" s="744">
        <v>-0.69281858600002089</v>
      </c>
      <c r="CE110" s="744">
        <v>-0.63362432800002111</v>
      </c>
      <c r="CF110" s="744">
        <v>-0.57585070000002148</v>
      </c>
      <c r="CG110" s="744">
        <v>-0.51955897800002138</v>
      </c>
      <c r="CH110" s="744">
        <v>-0.46468149600002118</v>
      </c>
      <c r="CI110" s="744">
        <v>-0.41115162400002081</v>
      </c>
      <c r="CJ110" s="1474"/>
      <c r="CK110" s="1474"/>
      <c r="CL110" s="1474"/>
      <c r="CM110" s="1474"/>
      <c r="CN110" s="1474"/>
      <c r="CO110" s="1474"/>
    </row>
    <row r="111" spans="2:93" s="1618" customFormat="1" ht="28" x14ac:dyDescent="0.35">
      <c r="B111" s="768" t="s">
        <v>525</v>
      </c>
      <c r="C111" s="769" t="s">
        <v>2183</v>
      </c>
      <c r="D111" s="770" t="s">
        <v>526</v>
      </c>
      <c r="E111" s="769" t="s">
        <v>305</v>
      </c>
      <c r="F111" s="771">
        <v>2</v>
      </c>
      <c r="G111" s="749"/>
      <c r="H111" s="750"/>
      <c r="I111" s="750"/>
      <c r="J111" s="750"/>
      <c r="K111" s="750"/>
      <c r="L111" s="750"/>
      <c r="M111" s="744"/>
      <c r="N111" s="744"/>
      <c r="O111" s="744"/>
      <c r="P111" s="744"/>
      <c r="Q111" s="744"/>
      <c r="R111" s="744"/>
      <c r="S111" s="744"/>
      <c r="T111" s="744"/>
      <c r="U111" s="744"/>
      <c r="V111" s="744"/>
      <c r="W111" s="744"/>
      <c r="X111" s="744"/>
      <c r="Y111" s="744"/>
      <c r="Z111" s="744"/>
      <c r="AA111" s="744"/>
      <c r="AB111" s="744"/>
      <c r="AC111" s="744"/>
      <c r="AD111" s="744"/>
      <c r="AE111" s="744"/>
      <c r="AF111" s="744"/>
      <c r="AG111" s="744"/>
      <c r="AH111" s="744"/>
      <c r="AI111" s="744"/>
      <c r="AJ111" s="744"/>
      <c r="AK111" s="744"/>
      <c r="AL111" s="744"/>
      <c r="AM111" s="744"/>
      <c r="AN111" s="744"/>
      <c r="AO111" s="744"/>
      <c r="AP111" s="744"/>
      <c r="AQ111" s="744"/>
      <c r="AR111" s="744"/>
      <c r="AS111" s="744"/>
      <c r="AT111" s="744"/>
      <c r="AU111" s="744"/>
      <c r="AV111" s="744"/>
      <c r="AW111" s="744"/>
      <c r="AX111" s="744"/>
      <c r="AY111" s="744"/>
      <c r="AZ111" s="744"/>
      <c r="BA111" s="744"/>
      <c r="BB111" s="744"/>
      <c r="BC111" s="744"/>
      <c r="BD111" s="744"/>
      <c r="BE111" s="744"/>
      <c r="BF111" s="744"/>
      <c r="BG111" s="744"/>
      <c r="BH111" s="744"/>
      <c r="BI111" s="744"/>
      <c r="BJ111" s="744"/>
      <c r="BK111" s="744"/>
      <c r="BL111" s="744"/>
      <c r="BM111" s="744"/>
      <c r="BN111" s="744"/>
      <c r="BO111" s="744"/>
      <c r="BP111" s="744"/>
      <c r="BQ111" s="744"/>
      <c r="BR111" s="744"/>
      <c r="BS111" s="744"/>
      <c r="BT111" s="744"/>
      <c r="BU111" s="744"/>
      <c r="BV111" s="744"/>
      <c r="BW111" s="744"/>
      <c r="BX111" s="744"/>
      <c r="BY111" s="744"/>
      <c r="BZ111" s="744"/>
      <c r="CA111" s="744"/>
      <c r="CB111" s="744"/>
      <c r="CC111" s="744"/>
      <c r="CD111" s="744"/>
      <c r="CE111" s="744"/>
      <c r="CF111" s="744"/>
      <c r="CG111" s="744"/>
      <c r="CH111" s="744"/>
      <c r="CI111" s="744"/>
      <c r="CJ111" s="1474"/>
      <c r="CK111" s="1474"/>
      <c r="CL111" s="1474"/>
      <c r="CM111" s="1474">
        <v>-6.25</v>
      </c>
      <c r="CN111" s="1474">
        <v>-6.25</v>
      </c>
      <c r="CO111" s="1474">
        <v>-6.25</v>
      </c>
    </row>
    <row r="112" spans="2:93" s="1618" customFormat="1" ht="28.5" thickBot="1" x14ac:dyDescent="0.4">
      <c r="B112" s="772" t="s">
        <v>527</v>
      </c>
      <c r="C112" s="773" t="s">
        <v>2184</v>
      </c>
      <c r="D112" s="773" t="s">
        <v>528</v>
      </c>
      <c r="E112" s="773" t="s">
        <v>305</v>
      </c>
      <c r="F112" s="774">
        <v>2</v>
      </c>
      <c r="G112" s="775"/>
      <c r="H112" s="776"/>
      <c r="I112" s="776"/>
      <c r="J112" s="776"/>
      <c r="K112" s="776"/>
      <c r="L112" s="776"/>
      <c r="M112" s="762"/>
      <c r="N112" s="762"/>
      <c r="O112" s="762"/>
      <c r="P112" s="762"/>
      <c r="Q112" s="762"/>
      <c r="R112" s="762"/>
      <c r="S112" s="762"/>
      <c r="T112" s="762"/>
      <c r="U112" s="762"/>
      <c r="V112" s="762"/>
      <c r="W112" s="762"/>
      <c r="X112" s="762"/>
      <c r="Y112" s="762"/>
      <c r="Z112" s="762"/>
      <c r="AA112" s="762"/>
      <c r="AB112" s="762"/>
      <c r="AC112" s="762"/>
      <c r="AD112" s="762"/>
      <c r="AE112" s="762"/>
      <c r="AF112" s="762"/>
      <c r="AG112" s="762"/>
      <c r="AH112" s="762"/>
      <c r="AI112" s="762"/>
      <c r="AJ112" s="762"/>
      <c r="AK112" s="762"/>
      <c r="AL112" s="762"/>
      <c r="AM112" s="762"/>
      <c r="AN112" s="762"/>
      <c r="AO112" s="762"/>
      <c r="AP112" s="762"/>
      <c r="AQ112" s="762"/>
      <c r="AR112" s="762"/>
      <c r="AS112" s="762"/>
      <c r="AT112" s="762"/>
      <c r="AU112" s="762"/>
      <c r="AV112" s="762"/>
      <c r="AW112" s="762"/>
      <c r="AX112" s="762"/>
      <c r="AY112" s="762"/>
      <c r="AZ112" s="762"/>
      <c r="BA112" s="762"/>
      <c r="BB112" s="762"/>
      <c r="BC112" s="762"/>
      <c r="BD112" s="762"/>
      <c r="BE112" s="762"/>
      <c r="BF112" s="762"/>
      <c r="BG112" s="762"/>
      <c r="BH112" s="762"/>
      <c r="BI112" s="762"/>
      <c r="BJ112" s="762"/>
      <c r="BK112" s="762"/>
      <c r="BL112" s="762"/>
      <c r="BM112" s="762"/>
      <c r="BN112" s="762"/>
      <c r="BO112" s="762"/>
      <c r="BP112" s="762"/>
      <c r="BQ112" s="762"/>
      <c r="BR112" s="762"/>
      <c r="BS112" s="762"/>
      <c r="BT112" s="762"/>
      <c r="BU112" s="762"/>
      <c r="BV112" s="762"/>
      <c r="BW112" s="762"/>
      <c r="BX112" s="762"/>
      <c r="BY112" s="762"/>
      <c r="BZ112" s="762"/>
      <c r="CA112" s="762"/>
      <c r="CB112" s="762"/>
      <c r="CC112" s="762"/>
      <c r="CD112" s="762"/>
      <c r="CE112" s="762"/>
      <c r="CF112" s="762"/>
      <c r="CG112" s="762"/>
      <c r="CH112" s="762"/>
      <c r="CI112" s="762"/>
      <c r="CJ112" s="1474"/>
      <c r="CK112" s="1474"/>
      <c r="CL112" s="1474"/>
      <c r="CM112" s="1474"/>
      <c r="CN112" s="1474"/>
      <c r="CO112" s="1474"/>
    </row>
    <row r="113" spans="2:97" s="1618" customFormat="1" ht="28" x14ac:dyDescent="0.35">
      <c r="B113" s="779" t="s">
        <v>529</v>
      </c>
      <c r="C113" s="780" t="s">
        <v>2185</v>
      </c>
      <c r="D113" s="781" t="s">
        <v>530</v>
      </c>
      <c r="E113" s="780" t="s">
        <v>305</v>
      </c>
      <c r="F113" s="782">
        <v>2</v>
      </c>
      <c r="G113" s="741"/>
      <c r="H113" s="742"/>
      <c r="I113" s="742"/>
      <c r="J113" s="742"/>
      <c r="K113" s="742"/>
      <c r="L113" s="742"/>
      <c r="M113" s="1658"/>
      <c r="N113" s="1658"/>
      <c r="O113" s="1658"/>
      <c r="P113" s="1658"/>
      <c r="Q113" s="1658"/>
      <c r="R113" s="1658"/>
      <c r="S113" s="1658"/>
      <c r="T113" s="1658"/>
      <c r="U113" s="1658"/>
      <c r="V113" s="1658"/>
      <c r="W113" s="1658"/>
      <c r="X113" s="1658"/>
      <c r="Y113" s="1658"/>
      <c r="Z113" s="1658"/>
      <c r="AA113" s="1658"/>
      <c r="AB113" s="1658"/>
      <c r="AC113" s="1658"/>
      <c r="AD113" s="1658"/>
      <c r="AE113" s="1658"/>
      <c r="AF113" s="1658"/>
      <c r="AG113" s="1658"/>
      <c r="AH113" s="1658"/>
      <c r="AI113" s="1658"/>
      <c r="AJ113" s="1658"/>
      <c r="AK113" s="1658"/>
      <c r="AL113" s="1658"/>
      <c r="AM113" s="1658"/>
      <c r="AN113" s="1658"/>
      <c r="AO113" s="1658"/>
      <c r="AP113" s="1658"/>
      <c r="AQ113" s="1658"/>
      <c r="AR113" s="1658"/>
      <c r="AS113" s="1658"/>
      <c r="AT113" s="1658"/>
      <c r="AU113" s="1658"/>
      <c r="AV113" s="1658"/>
      <c r="AW113" s="1658"/>
      <c r="AX113" s="1658"/>
      <c r="AY113" s="1658"/>
      <c r="AZ113" s="1658"/>
      <c r="BA113" s="1658"/>
      <c r="BB113" s="1658"/>
      <c r="BC113" s="1658"/>
      <c r="BD113" s="1658"/>
      <c r="BE113" s="1658"/>
      <c r="BF113" s="1658"/>
      <c r="BG113" s="1658"/>
      <c r="BH113" s="1658"/>
      <c r="BI113" s="1658"/>
      <c r="BJ113" s="1658"/>
      <c r="BK113" s="1658"/>
      <c r="BL113" s="1658"/>
      <c r="BM113" s="1658"/>
      <c r="BN113" s="1658"/>
      <c r="BO113" s="1658"/>
      <c r="BP113" s="1658"/>
      <c r="BQ113" s="1658"/>
      <c r="BR113" s="1658"/>
      <c r="BS113" s="1658"/>
      <c r="BT113" s="1658"/>
      <c r="BU113" s="1658"/>
      <c r="BV113" s="1658"/>
      <c r="BW113" s="1658"/>
      <c r="BX113" s="1658"/>
      <c r="BY113" s="1658"/>
      <c r="BZ113" s="1658"/>
      <c r="CA113" s="1658"/>
      <c r="CB113" s="1658"/>
      <c r="CC113" s="1658"/>
      <c r="CD113" s="1658"/>
      <c r="CE113" s="1658"/>
      <c r="CF113" s="1658"/>
      <c r="CG113" s="1658"/>
      <c r="CH113" s="1658"/>
      <c r="CI113" s="1658"/>
      <c r="CJ113" s="1474"/>
      <c r="CK113" s="1474"/>
      <c r="CL113" s="1474"/>
      <c r="CM113" s="1474"/>
      <c r="CN113" s="1474"/>
      <c r="CO113" s="1474"/>
    </row>
    <row r="114" spans="2:97" s="1618" customFormat="1" ht="28" x14ac:dyDescent="0.35">
      <c r="B114" s="753" t="s">
        <v>531</v>
      </c>
      <c r="C114" s="754" t="s">
        <v>2186</v>
      </c>
      <c r="D114" s="755" t="s">
        <v>532</v>
      </c>
      <c r="E114" s="754" t="s">
        <v>305</v>
      </c>
      <c r="F114" s="756">
        <v>2</v>
      </c>
      <c r="G114" s="749"/>
      <c r="H114" s="750"/>
      <c r="I114" s="750"/>
      <c r="J114" s="750"/>
      <c r="K114" s="750"/>
      <c r="L114" s="750"/>
      <c r="M114" s="744"/>
      <c r="N114" s="744"/>
      <c r="O114" s="744"/>
      <c r="P114" s="744"/>
      <c r="Q114" s="744"/>
      <c r="R114" s="744"/>
      <c r="S114" s="744"/>
      <c r="T114" s="744"/>
      <c r="U114" s="744"/>
      <c r="V114" s="744"/>
      <c r="W114" s="744"/>
      <c r="X114" s="744"/>
      <c r="Y114" s="744"/>
      <c r="Z114" s="744"/>
      <c r="AA114" s="744"/>
      <c r="AB114" s="744"/>
      <c r="AC114" s="744"/>
      <c r="AD114" s="744"/>
      <c r="AE114" s="744"/>
      <c r="AF114" s="744"/>
      <c r="AG114" s="744"/>
      <c r="AH114" s="744"/>
      <c r="AI114" s="744"/>
      <c r="AJ114" s="744"/>
      <c r="AK114" s="744"/>
      <c r="AL114" s="744"/>
      <c r="AM114" s="744"/>
      <c r="AN114" s="744"/>
      <c r="AO114" s="744"/>
      <c r="AP114" s="744"/>
      <c r="AQ114" s="744"/>
      <c r="AR114" s="744"/>
      <c r="AS114" s="744"/>
      <c r="AT114" s="744"/>
      <c r="AU114" s="744"/>
      <c r="AV114" s="744"/>
      <c r="AW114" s="744"/>
      <c r="AX114" s="744"/>
      <c r="AY114" s="744"/>
      <c r="AZ114" s="744"/>
      <c r="BA114" s="744"/>
      <c r="BB114" s="744"/>
      <c r="BC114" s="744"/>
      <c r="BD114" s="744"/>
      <c r="BE114" s="744"/>
      <c r="BF114" s="744"/>
      <c r="BG114" s="744"/>
      <c r="BH114" s="744"/>
      <c r="BI114" s="744"/>
      <c r="BJ114" s="744"/>
      <c r="BK114" s="744"/>
      <c r="BL114" s="744"/>
      <c r="BM114" s="744"/>
      <c r="BN114" s="744"/>
      <c r="BO114" s="744"/>
      <c r="BP114" s="744"/>
      <c r="BQ114" s="744"/>
      <c r="BR114" s="744"/>
      <c r="BS114" s="744"/>
      <c r="BT114" s="744"/>
      <c r="BU114" s="744"/>
      <c r="BV114" s="744"/>
      <c r="BW114" s="744"/>
      <c r="BX114" s="744"/>
      <c r="BY114" s="744"/>
      <c r="BZ114" s="744"/>
      <c r="CA114" s="744"/>
      <c r="CB114" s="744"/>
      <c r="CC114" s="744"/>
      <c r="CD114" s="744"/>
      <c r="CE114" s="744"/>
      <c r="CF114" s="744"/>
      <c r="CG114" s="744"/>
      <c r="CH114" s="744"/>
      <c r="CI114" s="745"/>
      <c r="CJ114" s="1474"/>
      <c r="CK114" s="1474"/>
      <c r="CL114" s="1474"/>
      <c r="CM114" s="1474"/>
      <c r="CN114" s="1474"/>
      <c r="CO114" s="1474"/>
    </row>
    <row r="115" spans="2:97" s="1618" customFormat="1" ht="28" x14ac:dyDescent="0.35">
      <c r="B115" s="753" t="s">
        <v>533</v>
      </c>
      <c r="C115" s="754" t="s">
        <v>2187</v>
      </c>
      <c r="D115" s="755" t="s">
        <v>534</v>
      </c>
      <c r="E115" s="754" t="s">
        <v>305</v>
      </c>
      <c r="F115" s="756">
        <v>2</v>
      </c>
      <c r="G115" s="749"/>
      <c r="H115" s="750"/>
      <c r="I115" s="750"/>
      <c r="J115" s="750"/>
      <c r="K115" s="750"/>
      <c r="L115" s="750"/>
      <c r="M115" s="744">
        <v>2.7000000000000003E-2</v>
      </c>
      <c r="N115" s="744">
        <v>5.4000000000000006E-2</v>
      </c>
      <c r="O115" s="744">
        <v>8.1000000000000016E-2</v>
      </c>
      <c r="P115" s="744">
        <v>0.10800000000000001</v>
      </c>
      <c r="Q115" s="744">
        <v>0.13500000000000001</v>
      </c>
      <c r="R115" s="744">
        <v>0.16200000000000003</v>
      </c>
      <c r="S115" s="744">
        <v>0.189</v>
      </c>
      <c r="T115" s="744">
        <v>0.21600000000000003</v>
      </c>
      <c r="U115" s="744">
        <v>0.24299999999999999</v>
      </c>
      <c r="V115" s="744">
        <v>0.27</v>
      </c>
      <c r="W115" s="744">
        <v>0.27</v>
      </c>
      <c r="X115" s="744">
        <v>0.27</v>
      </c>
      <c r="Y115" s="744">
        <v>0.27</v>
      </c>
      <c r="Z115" s="744">
        <v>0.27</v>
      </c>
      <c r="AA115" s="744">
        <v>0.27</v>
      </c>
      <c r="AB115" s="744">
        <v>0.27</v>
      </c>
      <c r="AC115" s="744">
        <v>0.27</v>
      </c>
      <c r="AD115" s="744">
        <v>0.27</v>
      </c>
      <c r="AE115" s="744">
        <v>0.27</v>
      </c>
      <c r="AF115" s="744">
        <v>0.27</v>
      </c>
      <c r="AG115" s="744">
        <v>0.27</v>
      </c>
      <c r="AH115" s="744">
        <v>0.27</v>
      </c>
      <c r="AI115" s="744">
        <v>0.27</v>
      </c>
      <c r="AJ115" s="744">
        <v>0.27</v>
      </c>
      <c r="AK115" s="744">
        <v>0.27</v>
      </c>
      <c r="AL115" s="744">
        <v>0.27000000000000007</v>
      </c>
      <c r="AM115" s="744">
        <v>0.27000000000000007</v>
      </c>
      <c r="AN115" s="744">
        <v>0.27000000000000007</v>
      </c>
      <c r="AO115" s="744">
        <v>0.27000000000000007</v>
      </c>
      <c r="AP115" s="744">
        <v>0.27000000000000007</v>
      </c>
      <c r="AQ115" s="744">
        <v>0.27000000000000007</v>
      </c>
      <c r="AR115" s="744">
        <v>0.27000000000000007</v>
      </c>
      <c r="AS115" s="744">
        <v>0.27000000000000007</v>
      </c>
      <c r="AT115" s="744">
        <v>0.27000000000000007</v>
      </c>
      <c r="AU115" s="744">
        <v>0.27000000000000007</v>
      </c>
      <c r="AV115" s="744">
        <v>0.27000000000000007</v>
      </c>
      <c r="AW115" s="744">
        <v>0.27000000000000007</v>
      </c>
      <c r="AX115" s="744">
        <v>0.27000000000000007</v>
      </c>
      <c r="AY115" s="744">
        <v>0.27000000000000007</v>
      </c>
      <c r="AZ115" s="744">
        <v>0.27000000000000007</v>
      </c>
      <c r="BA115" s="744">
        <v>0.27000000000000007</v>
      </c>
      <c r="BB115" s="744">
        <v>0.27000000000000007</v>
      </c>
      <c r="BC115" s="744">
        <v>0.27000000000000007</v>
      </c>
      <c r="BD115" s="744">
        <v>0.27000000000000007</v>
      </c>
      <c r="BE115" s="744">
        <v>0.27000000000000007</v>
      </c>
      <c r="BF115" s="744">
        <v>0.27000000000000007</v>
      </c>
      <c r="BG115" s="744">
        <v>0.27000000000000007</v>
      </c>
      <c r="BH115" s="744">
        <v>0.27000000000000007</v>
      </c>
      <c r="BI115" s="744">
        <v>0.27000000000000007</v>
      </c>
      <c r="BJ115" s="744">
        <v>0.27000000000000007</v>
      </c>
      <c r="BK115" s="744">
        <v>0.27000000000000007</v>
      </c>
      <c r="BL115" s="744">
        <v>0.27000000000000007</v>
      </c>
      <c r="BM115" s="744">
        <v>0.27000000000000007</v>
      </c>
      <c r="BN115" s="744">
        <v>0.27000000000000007</v>
      </c>
      <c r="BO115" s="744">
        <v>0.27000000000000007</v>
      </c>
      <c r="BP115" s="744">
        <v>0.27000000000000007</v>
      </c>
      <c r="BQ115" s="744">
        <v>0.27000000000000007</v>
      </c>
      <c r="BR115" s="744">
        <v>0.27000000000000007</v>
      </c>
      <c r="BS115" s="744">
        <v>0.27000000000000007</v>
      </c>
      <c r="BT115" s="744">
        <v>0.27000000000000007</v>
      </c>
      <c r="BU115" s="744">
        <v>0.27000000000000007</v>
      </c>
      <c r="BV115" s="744">
        <v>0.27000000000000007</v>
      </c>
      <c r="BW115" s="744">
        <v>0.27000000000000007</v>
      </c>
      <c r="BX115" s="744">
        <v>0.27000000000000007</v>
      </c>
      <c r="BY115" s="744">
        <v>0.27000000000000007</v>
      </c>
      <c r="BZ115" s="744">
        <v>0.27000000000000007</v>
      </c>
      <c r="CA115" s="744">
        <v>0.27000000000000007</v>
      </c>
      <c r="CB115" s="744">
        <v>0.27000000000000007</v>
      </c>
      <c r="CC115" s="744">
        <v>0.27000000000000007</v>
      </c>
      <c r="CD115" s="744">
        <v>0.27000000000000007</v>
      </c>
      <c r="CE115" s="744">
        <v>0.27000000000000007</v>
      </c>
      <c r="CF115" s="744">
        <v>0.27000000000000007</v>
      </c>
      <c r="CG115" s="744">
        <v>0.27000000000000007</v>
      </c>
      <c r="CH115" s="744">
        <v>0.27000000000000007</v>
      </c>
      <c r="CI115" s="744">
        <v>0.27000000000000007</v>
      </c>
      <c r="CJ115" s="1474"/>
      <c r="CK115" s="1474"/>
      <c r="CL115" s="1474"/>
      <c r="CM115" s="1474"/>
      <c r="CN115" s="1474"/>
      <c r="CO115" s="1474"/>
    </row>
    <row r="116" spans="2:97" s="1618" customFormat="1" ht="28" x14ac:dyDescent="0.35">
      <c r="B116" s="753" t="s">
        <v>535</v>
      </c>
      <c r="C116" s="754" t="s">
        <v>2188</v>
      </c>
      <c r="D116" s="755" t="s">
        <v>536</v>
      </c>
      <c r="E116" s="754" t="s">
        <v>305</v>
      </c>
      <c r="F116" s="756">
        <v>2</v>
      </c>
      <c r="G116" s="749"/>
      <c r="H116" s="750"/>
      <c r="I116" s="750"/>
      <c r="J116" s="750"/>
      <c r="K116" s="750"/>
      <c r="L116" s="750"/>
      <c r="M116" s="744">
        <v>-6.9000000000000006E-2</v>
      </c>
      <c r="N116" s="744">
        <v>-0.13800000000000001</v>
      </c>
      <c r="O116" s="744">
        <v>-0.20700000000000002</v>
      </c>
      <c r="P116" s="744">
        <v>-0.27600000000000002</v>
      </c>
      <c r="Q116" s="744">
        <v>-0.34500000000000003</v>
      </c>
      <c r="R116" s="744">
        <v>-0.41400000000000003</v>
      </c>
      <c r="S116" s="744">
        <v>-0.48300000000000004</v>
      </c>
      <c r="T116" s="744">
        <v>-0.55200000000000005</v>
      </c>
      <c r="U116" s="744">
        <v>-0.621</v>
      </c>
      <c r="V116" s="744">
        <v>-0.69000000000000006</v>
      </c>
      <c r="W116" s="744">
        <v>-0.69000000000000006</v>
      </c>
      <c r="X116" s="744">
        <v>-0.69000000000000006</v>
      </c>
      <c r="Y116" s="744">
        <v>-0.69000000000000006</v>
      </c>
      <c r="Z116" s="744">
        <v>-0.69000000000000006</v>
      </c>
      <c r="AA116" s="744">
        <v>-0.69000000000000006</v>
      </c>
      <c r="AB116" s="744">
        <v>-0.69000000000000006</v>
      </c>
      <c r="AC116" s="744">
        <v>-0.69000000000000006</v>
      </c>
      <c r="AD116" s="744">
        <v>-0.69000000000000006</v>
      </c>
      <c r="AE116" s="744">
        <v>-0.69000000000000006</v>
      </c>
      <c r="AF116" s="744">
        <v>-0.69000000000000006</v>
      </c>
      <c r="AG116" s="744">
        <v>-0.69000000000000006</v>
      </c>
      <c r="AH116" s="744">
        <v>-0.69000000000000006</v>
      </c>
      <c r="AI116" s="744">
        <v>-0.69000000000000006</v>
      </c>
      <c r="AJ116" s="744">
        <v>-0.69000000000000006</v>
      </c>
      <c r="AK116" s="744">
        <v>-0.69000000000000006</v>
      </c>
      <c r="AL116" s="744">
        <v>-0.69000000000000006</v>
      </c>
      <c r="AM116" s="744">
        <v>-0.69000000000000006</v>
      </c>
      <c r="AN116" s="744">
        <v>-0.69000000000000006</v>
      </c>
      <c r="AO116" s="744">
        <v>-0.69000000000000006</v>
      </c>
      <c r="AP116" s="744">
        <v>-0.69000000000000006</v>
      </c>
      <c r="AQ116" s="744">
        <v>-0.69000000000000006</v>
      </c>
      <c r="AR116" s="744">
        <v>-0.69000000000000006</v>
      </c>
      <c r="AS116" s="744">
        <v>-0.69000000000000006</v>
      </c>
      <c r="AT116" s="744">
        <v>-0.69000000000000006</v>
      </c>
      <c r="AU116" s="744">
        <v>-0.69000000000000006</v>
      </c>
      <c r="AV116" s="744">
        <v>-0.69000000000000006</v>
      </c>
      <c r="AW116" s="744">
        <v>-0.69000000000000006</v>
      </c>
      <c r="AX116" s="744">
        <v>-0.69000000000000006</v>
      </c>
      <c r="AY116" s="744">
        <v>-0.69000000000000006</v>
      </c>
      <c r="AZ116" s="744">
        <v>-0.69000000000000006</v>
      </c>
      <c r="BA116" s="744">
        <v>-0.69000000000000006</v>
      </c>
      <c r="BB116" s="744">
        <v>-0.69000000000000006</v>
      </c>
      <c r="BC116" s="744">
        <v>-0.69000000000000006</v>
      </c>
      <c r="BD116" s="744">
        <v>-0.69000000000000006</v>
      </c>
      <c r="BE116" s="744">
        <v>-0.69000000000000006</v>
      </c>
      <c r="BF116" s="744">
        <v>-0.69000000000000006</v>
      </c>
      <c r="BG116" s="744">
        <v>-0.69000000000000006</v>
      </c>
      <c r="BH116" s="744">
        <v>-0.69000000000000006</v>
      </c>
      <c r="BI116" s="744">
        <v>-0.69000000000000006</v>
      </c>
      <c r="BJ116" s="744">
        <v>-0.69000000000000006</v>
      </c>
      <c r="BK116" s="744">
        <v>-0.69000000000000006</v>
      </c>
      <c r="BL116" s="744">
        <v>-0.69000000000000006</v>
      </c>
      <c r="BM116" s="744">
        <v>-0.69000000000000006</v>
      </c>
      <c r="BN116" s="744">
        <v>-0.69000000000000006</v>
      </c>
      <c r="BO116" s="744">
        <v>-0.69000000000000006</v>
      </c>
      <c r="BP116" s="744">
        <v>-0.69000000000000006</v>
      </c>
      <c r="BQ116" s="744">
        <v>-0.69000000000000006</v>
      </c>
      <c r="BR116" s="744">
        <v>-0.69000000000000006</v>
      </c>
      <c r="BS116" s="744">
        <v>-0.69000000000000006</v>
      </c>
      <c r="BT116" s="744">
        <v>-0.69000000000000006</v>
      </c>
      <c r="BU116" s="744">
        <v>-0.69000000000000006</v>
      </c>
      <c r="BV116" s="744">
        <v>-0.69000000000000006</v>
      </c>
      <c r="BW116" s="744">
        <v>-0.69000000000000006</v>
      </c>
      <c r="BX116" s="744">
        <v>-0.69000000000000006</v>
      </c>
      <c r="BY116" s="744">
        <v>-0.69000000000000006</v>
      </c>
      <c r="BZ116" s="744">
        <v>-0.69000000000000006</v>
      </c>
      <c r="CA116" s="744">
        <v>-0.69000000000000006</v>
      </c>
      <c r="CB116" s="744">
        <v>-0.69000000000000006</v>
      </c>
      <c r="CC116" s="744">
        <v>-0.69000000000000006</v>
      </c>
      <c r="CD116" s="744">
        <v>-0.69000000000000006</v>
      </c>
      <c r="CE116" s="744">
        <v>-0.69000000000000006</v>
      </c>
      <c r="CF116" s="744">
        <v>-0.69000000000000006</v>
      </c>
      <c r="CG116" s="744">
        <v>-0.69000000000000006</v>
      </c>
      <c r="CH116" s="744">
        <v>-0.69000000000000006</v>
      </c>
      <c r="CI116" s="744">
        <v>-0.69000000000000006</v>
      </c>
      <c r="CJ116" s="1474"/>
      <c r="CK116" s="1474"/>
      <c r="CL116" s="1474"/>
      <c r="CM116" s="1474"/>
      <c r="CN116" s="1474"/>
      <c r="CO116" s="1474"/>
    </row>
    <row r="117" spans="2:97" s="1618" customFormat="1" ht="28" x14ac:dyDescent="0.35">
      <c r="B117" s="753" t="s">
        <v>537</v>
      </c>
      <c r="C117" s="754" t="s">
        <v>2189</v>
      </c>
      <c r="D117" s="755" t="s">
        <v>538</v>
      </c>
      <c r="E117" s="754" t="s">
        <v>305</v>
      </c>
      <c r="F117" s="756">
        <v>2</v>
      </c>
      <c r="G117" s="749"/>
      <c r="H117" s="750"/>
      <c r="I117" s="750"/>
      <c r="J117" s="750"/>
      <c r="K117" s="750"/>
      <c r="L117" s="750"/>
      <c r="M117" s="744"/>
      <c r="N117" s="744"/>
      <c r="O117" s="744"/>
      <c r="P117" s="744"/>
      <c r="Q117" s="744"/>
      <c r="R117" s="744"/>
      <c r="S117" s="744"/>
      <c r="T117" s="744"/>
      <c r="U117" s="744"/>
      <c r="V117" s="744"/>
      <c r="W117" s="744"/>
      <c r="X117" s="744"/>
      <c r="Y117" s="744"/>
      <c r="Z117" s="744"/>
      <c r="AA117" s="744"/>
      <c r="AB117" s="744"/>
      <c r="AC117" s="744">
        <f>TBL3b_DYAAOpt_[[#This Row],[2040-41]]</f>
        <v>0</v>
      </c>
      <c r="AD117" s="744"/>
      <c r="AE117" s="744"/>
      <c r="AF117" s="744"/>
      <c r="AG117" s="744"/>
      <c r="AH117" s="744"/>
      <c r="AI117" s="744"/>
      <c r="AJ117" s="744"/>
      <c r="AK117" s="744"/>
      <c r="AL117" s="744"/>
      <c r="AM117" s="744"/>
      <c r="AN117" s="744"/>
      <c r="AO117" s="744"/>
      <c r="AP117" s="744"/>
      <c r="AQ117" s="744"/>
      <c r="AR117" s="744"/>
      <c r="AS117" s="744"/>
      <c r="AT117" s="744"/>
      <c r="AU117" s="744"/>
      <c r="AV117" s="744"/>
      <c r="AW117" s="744"/>
      <c r="AX117" s="744"/>
      <c r="AY117" s="744"/>
      <c r="AZ117" s="744"/>
      <c r="BA117" s="744"/>
      <c r="BB117" s="744"/>
      <c r="BC117" s="744"/>
      <c r="BD117" s="744"/>
      <c r="BE117" s="744"/>
      <c r="BF117" s="744"/>
      <c r="BG117" s="744"/>
      <c r="BH117" s="744"/>
      <c r="BI117" s="744"/>
      <c r="BJ117" s="744"/>
      <c r="BK117" s="744"/>
      <c r="BL117" s="744"/>
      <c r="BM117" s="744"/>
      <c r="BN117" s="744"/>
      <c r="BO117" s="744"/>
      <c r="BP117" s="744"/>
      <c r="BQ117" s="744"/>
      <c r="BR117" s="744"/>
      <c r="BS117" s="744"/>
      <c r="BT117" s="744"/>
      <c r="BU117" s="744"/>
      <c r="BV117" s="744"/>
      <c r="BW117" s="744"/>
      <c r="BX117" s="744"/>
      <c r="BY117" s="744"/>
      <c r="BZ117" s="744"/>
      <c r="CA117" s="744"/>
      <c r="CB117" s="744"/>
      <c r="CC117" s="744"/>
      <c r="CD117" s="744"/>
      <c r="CE117" s="744"/>
      <c r="CF117" s="744"/>
      <c r="CG117" s="744"/>
      <c r="CH117" s="744"/>
      <c r="CI117" s="744"/>
      <c r="CJ117" s="1474"/>
      <c r="CK117" s="1474"/>
      <c r="CL117" s="1474"/>
      <c r="CM117" s="1474"/>
      <c r="CN117" s="1474"/>
      <c r="CO117" s="1474"/>
    </row>
    <row r="118" spans="2:97" s="1618" customFormat="1" x14ac:dyDescent="0.35">
      <c r="B118" s="783" t="s">
        <v>539</v>
      </c>
      <c r="C118" s="784" t="s">
        <v>2190</v>
      </c>
      <c r="D118" s="784" t="s">
        <v>540</v>
      </c>
      <c r="E118" s="784" t="s">
        <v>305</v>
      </c>
      <c r="F118" s="785">
        <v>2</v>
      </c>
      <c r="G118" s="775"/>
      <c r="H118" s="776"/>
      <c r="I118" s="776"/>
      <c r="J118" s="776"/>
      <c r="K118" s="776"/>
      <c r="L118" s="776"/>
      <c r="M118" s="777">
        <v>-0.438</v>
      </c>
      <c r="N118" s="777">
        <v>-0.876</v>
      </c>
      <c r="O118" s="777">
        <v>-1.3140000000000001</v>
      </c>
      <c r="P118" s="777">
        <v>-1.752</v>
      </c>
      <c r="Q118" s="777">
        <v>-2.19</v>
      </c>
      <c r="R118" s="777">
        <v>-2.4900000000000002</v>
      </c>
      <c r="S118" s="777">
        <v>-2.79</v>
      </c>
      <c r="T118" s="777">
        <v>-3.0900000000000003</v>
      </c>
      <c r="U118" s="777">
        <v>-3.3899999999999997</v>
      </c>
      <c r="V118" s="777">
        <v>-3.6900000000000004</v>
      </c>
      <c r="W118" s="777">
        <v>-4.048</v>
      </c>
      <c r="X118" s="777">
        <v>-4.4060000000000006</v>
      </c>
      <c r="Y118" s="777">
        <v>-4.7640000000000002</v>
      </c>
      <c r="Z118" s="777">
        <v>-5.1219999999999999</v>
      </c>
      <c r="AA118" s="777">
        <v>-5.48</v>
      </c>
      <c r="AB118" s="777">
        <v>-5.48</v>
      </c>
      <c r="AC118" s="777">
        <v>-5.48</v>
      </c>
      <c r="AD118" s="777">
        <v>-5.48</v>
      </c>
      <c r="AE118" s="777">
        <v>-5.48</v>
      </c>
      <c r="AF118" s="777">
        <v>-5.48</v>
      </c>
      <c r="AG118" s="777">
        <v>-5.48</v>
      </c>
      <c r="AH118" s="777">
        <v>-5.48</v>
      </c>
      <c r="AI118" s="777">
        <v>-5.48</v>
      </c>
      <c r="AJ118" s="777">
        <v>-5.48</v>
      </c>
      <c r="AK118" s="777">
        <v>-5.48</v>
      </c>
      <c r="AL118" s="777">
        <v>-5.48</v>
      </c>
      <c r="AM118" s="777">
        <v>-5.48</v>
      </c>
      <c r="AN118" s="777">
        <v>-5.48</v>
      </c>
      <c r="AO118" s="777">
        <v>-5.48</v>
      </c>
      <c r="AP118" s="777">
        <v>-5.48</v>
      </c>
      <c r="AQ118" s="777">
        <v>-5.48</v>
      </c>
      <c r="AR118" s="777">
        <v>-5.48</v>
      </c>
      <c r="AS118" s="777">
        <v>-5.48</v>
      </c>
      <c r="AT118" s="777">
        <v>-5.48</v>
      </c>
      <c r="AU118" s="777">
        <v>-5.48</v>
      </c>
      <c r="AV118" s="777">
        <v>-5.48</v>
      </c>
      <c r="AW118" s="777">
        <v>-5.48</v>
      </c>
      <c r="AX118" s="777">
        <v>-5.48</v>
      </c>
      <c r="AY118" s="777">
        <v>-5.48</v>
      </c>
      <c r="AZ118" s="777">
        <v>-5.48</v>
      </c>
      <c r="BA118" s="777">
        <v>-5.48</v>
      </c>
      <c r="BB118" s="777">
        <v>-5.48</v>
      </c>
      <c r="BC118" s="777">
        <v>-5.48</v>
      </c>
      <c r="BD118" s="777">
        <v>-5.48</v>
      </c>
      <c r="BE118" s="777">
        <v>-5.48</v>
      </c>
      <c r="BF118" s="777">
        <v>-5.48</v>
      </c>
      <c r="BG118" s="777">
        <v>-5.48</v>
      </c>
      <c r="BH118" s="777">
        <v>-5.48</v>
      </c>
      <c r="BI118" s="777">
        <v>-5.48</v>
      </c>
      <c r="BJ118" s="777">
        <v>-5.48</v>
      </c>
      <c r="BK118" s="777">
        <v>-5.48</v>
      </c>
      <c r="BL118" s="777">
        <v>-5.48</v>
      </c>
      <c r="BM118" s="777">
        <v>-5.48</v>
      </c>
      <c r="BN118" s="777">
        <v>-5.48</v>
      </c>
      <c r="BO118" s="777">
        <v>-5.48</v>
      </c>
      <c r="BP118" s="777">
        <v>-5.48</v>
      </c>
      <c r="BQ118" s="777">
        <v>-5.48</v>
      </c>
      <c r="BR118" s="777">
        <v>-5.48</v>
      </c>
      <c r="BS118" s="777">
        <v>-5.48</v>
      </c>
      <c r="BT118" s="777">
        <v>-5.48</v>
      </c>
      <c r="BU118" s="777">
        <v>-5.48</v>
      </c>
      <c r="BV118" s="777">
        <v>-5.48</v>
      </c>
      <c r="BW118" s="777">
        <v>-5.48</v>
      </c>
      <c r="BX118" s="777">
        <v>-5.48</v>
      </c>
      <c r="BY118" s="777">
        <v>-5.48</v>
      </c>
      <c r="BZ118" s="777">
        <v>-5.48</v>
      </c>
      <c r="CA118" s="777">
        <v>-5.48</v>
      </c>
      <c r="CB118" s="777">
        <v>-5.48</v>
      </c>
      <c r="CC118" s="777">
        <v>-5.48</v>
      </c>
      <c r="CD118" s="777">
        <v>-5.48</v>
      </c>
      <c r="CE118" s="777">
        <v>-5.48</v>
      </c>
      <c r="CF118" s="777">
        <v>-5.48</v>
      </c>
      <c r="CG118" s="777">
        <v>-5.48</v>
      </c>
      <c r="CH118" s="777">
        <v>-5.48</v>
      </c>
      <c r="CI118" s="777">
        <v>-5.48</v>
      </c>
      <c r="CJ118" s="1475"/>
      <c r="CK118" s="1475"/>
      <c r="CL118" s="1475"/>
      <c r="CM118" s="1475"/>
      <c r="CN118" s="1475"/>
      <c r="CO118" s="1475"/>
    </row>
    <row r="119" spans="2:97" ht="14.5" thickBot="1" x14ac:dyDescent="0.4">
      <c r="B119" s="786"/>
      <c r="C119" s="786"/>
      <c r="D119" s="786"/>
      <c r="E119" s="786"/>
      <c r="F119" s="730"/>
      <c r="G119" s="731"/>
      <c r="H119" s="731"/>
      <c r="I119" s="731"/>
      <c r="J119" s="731"/>
      <c r="K119" s="731"/>
      <c r="L119" s="731"/>
      <c r="M119" s="731"/>
      <c r="N119" s="731"/>
      <c r="O119" s="731"/>
      <c r="P119" s="731"/>
      <c r="Q119" s="731"/>
      <c r="R119" s="731"/>
      <c r="S119" s="731"/>
      <c r="T119" s="731"/>
      <c r="U119" s="731"/>
      <c r="V119" s="731"/>
      <c r="W119" s="731"/>
      <c r="X119" s="731"/>
      <c r="Y119" s="731"/>
      <c r="Z119" s="731"/>
      <c r="AA119" s="731"/>
      <c r="AB119" s="731"/>
      <c r="AC119" s="731"/>
      <c r="AD119" s="731"/>
      <c r="AE119" s="731"/>
      <c r="AF119" s="731"/>
      <c r="AG119" s="731"/>
      <c r="AH119" s="731"/>
      <c r="AI119" s="731"/>
      <c r="AJ119" s="731"/>
      <c r="AK119" s="731"/>
      <c r="AL119" s="731"/>
      <c r="AM119" s="731"/>
      <c r="AN119" s="731"/>
      <c r="AO119" s="731"/>
      <c r="AP119" s="731"/>
      <c r="AQ119" s="731"/>
      <c r="AR119" s="731"/>
      <c r="AS119" s="731"/>
      <c r="AT119" s="731"/>
      <c r="AU119" s="731"/>
      <c r="AV119" s="731"/>
      <c r="AW119" s="731"/>
      <c r="AX119" s="731"/>
      <c r="AY119" s="731"/>
      <c r="AZ119" s="731"/>
      <c r="BA119" s="731"/>
      <c r="BB119" s="731"/>
      <c r="BC119" s="731"/>
      <c r="BD119" s="731"/>
      <c r="BE119" s="731"/>
      <c r="BF119" s="731"/>
      <c r="BG119" s="731"/>
      <c r="BH119" s="731"/>
      <c r="BI119" s="731"/>
      <c r="BJ119" s="731"/>
      <c r="BK119" s="731"/>
      <c r="BL119" s="731"/>
      <c r="BM119" s="731"/>
      <c r="BN119" s="731"/>
      <c r="BO119" s="731"/>
      <c r="BP119" s="731"/>
      <c r="BQ119" s="731"/>
      <c r="BR119" s="731"/>
      <c r="BS119" s="731"/>
      <c r="BT119" s="731"/>
      <c r="BU119" s="731"/>
      <c r="BV119" s="731"/>
      <c r="BW119" s="731"/>
      <c r="BX119" s="731"/>
      <c r="BY119" s="731"/>
      <c r="BZ119" s="731"/>
      <c r="CA119" s="731"/>
      <c r="CB119" s="731"/>
      <c r="CC119" s="731"/>
      <c r="CD119" s="731"/>
      <c r="CE119" s="731"/>
      <c r="CF119" s="731"/>
      <c r="CG119" s="731"/>
      <c r="CH119" s="731"/>
      <c r="CI119" s="731"/>
      <c r="CJ119" s="593"/>
    </row>
    <row r="120" spans="2:97" ht="14.5" thickBot="1" x14ac:dyDescent="0.4">
      <c r="B120" s="732" t="s">
        <v>541</v>
      </c>
      <c r="C120" s="592"/>
      <c r="D120" s="593"/>
      <c r="E120" s="593"/>
      <c r="F120" s="593"/>
      <c r="G120" s="593"/>
      <c r="H120" s="593"/>
      <c r="I120" s="593"/>
      <c r="J120" s="593"/>
      <c r="K120" s="593"/>
      <c r="L120" s="593"/>
      <c r="M120" s="593"/>
      <c r="N120" s="593"/>
      <c r="O120" s="593"/>
      <c r="P120" s="593"/>
      <c r="Q120" s="593"/>
      <c r="R120" s="593"/>
      <c r="S120" s="593"/>
      <c r="T120" s="593"/>
      <c r="U120" s="593"/>
      <c r="V120" s="593"/>
      <c r="W120" s="593"/>
      <c r="X120" s="593"/>
      <c r="Y120" s="593"/>
      <c r="Z120" s="593"/>
      <c r="AA120" s="593"/>
      <c r="AB120" s="593"/>
      <c r="AC120" s="593"/>
      <c r="AD120" s="593"/>
      <c r="AE120" s="593"/>
      <c r="AF120" s="593"/>
      <c r="AG120" s="593"/>
      <c r="AH120" s="593"/>
      <c r="AI120" s="593"/>
      <c r="AJ120" s="593"/>
      <c r="AK120" s="593"/>
      <c r="AL120" s="593"/>
      <c r="AM120" s="593"/>
      <c r="AN120" s="593"/>
      <c r="AO120" s="593"/>
      <c r="AP120" s="593"/>
      <c r="AQ120" s="593"/>
      <c r="AR120" s="593"/>
      <c r="AS120" s="593"/>
      <c r="AT120" s="593"/>
      <c r="AU120" s="593"/>
      <c r="AV120" s="593"/>
      <c r="AW120" s="593"/>
      <c r="AX120" s="593"/>
      <c r="AY120" s="593"/>
      <c r="AZ120" s="593"/>
      <c r="BA120" s="593"/>
      <c r="BB120" s="593"/>
      <c r="BC120" s="593"/>
      <c r="BD120" s="593"/>
      <c r="BE120" s="593"/>
      <c r="BF120" s="593"/>
      <c r="BG120" s="593"/>
      <c r="BH120" s="593"/>
      <c r="BI120" s="593"/>
      <c r="BJ120" s="593"/>
      <c r="BK120" s="593"/>
      <c r="BL120" s="593"/>
      <c r="BM120" s="593"/>
      <c r="BN120" s="593"/>
      <c r="BO120" s="593"/>
      <c r="BP120" s="593"/>
      <c r="BQ120" s="593"/>
      <c r="BR120" s="593"/>
      <c r="BS120" s="593"/>
      <c r="BT120" s="593"/>
      <c r="BU120" s="593"/>
      <c r="BV120" s="593"/>
      <c r="BW120" s="593"/>
      <c r="BX120" s="593"/>
      <c r="BY120" s="593"/>
      <c r="BZ120" s="593"/>
      <c r="CA120" s="593"/>
      <c r="CB120" s="593"/>
      <c r="CC120" s="593"/>
      <c r="CD120" s="593"/>
      <c r="CE120" s="593"/>
      <c r="CF120" s="593"/>
      <c r="CG120" s="593"/>
      <c r="CH120" s="593"/>
      <c r="CI120" s="593"/>
    </row>
    <row r="121" spans="2:97" ht="28.5" thickBot="1" x14ac:dyDescent="0.4">
      <c r="B121" s="787" t="s">
        <v>217</v>
      </c>
      <c r="C121" s="788" t="s">
        <v>218</v>
      </c>
      <c r="D121" s="788" t="s">
        <v>66</v>
      </c>
      <c r="E121" s="788" t="s">
        <v>219</v>
      </c>
      <c r="F121" s="789" t="s">
        <v>220</v>
      </c>
      <c r="G121" s="787" t="s">
        <v>221</v>
      </c>
      <c r="H121" s="787" t="s">
        <v>222</v>
      </c>
      <c r="I121" s="787" t="s">
        <v>223</v>
      </c>
      <c r="J121" s="787" t="s">
        <v>224</v>
      </c>
      <c r="K121" s="787" t="s">
        <v>225</v>
      </c>
      <c r="L121" s="787" t="s">
        <v>226</v>
      </c>
      <c r="M121" s="788" t="s">
        <v>227</v>
      </c>
      <c r="N121" s="788" t="s">
        <v>228</v>
      </c>
      <c r="O121" s="788" t="s">
        <v>229</v>
      </c>
      <c r="P121" s="788" t="s">
        <v>230</v>
      </c>
      <c r="Q121" s="788" t="s">
        <v>231</v>
      </c>
      <c r="R121" s="788" t="s">
        <v>232</v>
      </c>
      <c r="S121" s="788" t="s">
        <v>233</v>
      </c>
      <c r="T121" s="788" t="s">
        <v>234</v>
      </c>
      <c r="U121" s="788" t="s">
        <v>235</v>
      </c>
      <c r="V121" s="788" t="s">
        <v>236</v>
      </c>
      <c r="W121" s="788" t="s">
        <v>237</v>
      </c>
      <c r="X121" s="788" t="s">
        <v>238</v>
      </c>
      <c r="Y121" s="788" t="s">
        <v>239</v>
      </c>
      <c r="Z121" s="788" t="s">
        <v>240</v>
      </c>
      <c r="AA121" s="788" t="s">
        <v>241</v>
      </c>
      <c r="AB121" s="788" t="s">
        <v>242</v>
      </c>
      <c r="AC121" s="788" t="s">
        <v>243</v>
      </c>
      <c r="AD121" s="788" t="s">
        <v>244</v>
      </c>
      <c r="AE121" s="788" t="s">
        <v>245</v>
      </c>
      <c r="AF121" s="788" t="s">
        <v>246</v>
      </c>
      <c r="AG121" s="788" t="s">
        <v>247</v>
      </c>
      <c r="AH121" s="788" t="s">
        <v>248</v>
      </c>
      <c r="AI121" s="788" t="s">
        <v>249</v>
      </c>
      <c r="AJ121" s="788" t="s">
        <v>250</v>
      </c>
      <c r="AK121" s="788" t="s">
        <v>251</v>
      </c>
      <c r="AL121" s="788" t="s">
        <v>252</v>
      </c>
      <c r="AM121" s="788" t="s">
        <v>253</v>
      </c>
      <c r="AN121" s="788" t="s">
        <v>254</v>
      </c>
      <c r="AO121" s="788" t="s">
        <v>255</v>
      </c>
      <c r="AP121" s="788" t="s">
        <v>256</v>
      </c>
      <c r="AQ121" s="788" t="s">
        <v>257</v>
      </c>
      <c r="AR121" s="788" t="s">
        <v>258</v>
      </c>
      <c r="AS121" s="788" t="s">
        <v>259</v>
      </c>
      <c r="AT121" s="788" t="s">
        <v>260</v>
      </c>
      <c r="AU121" s="788" t="s">
        <v>261</v>
      </c>
      <c r="AV121" s="788" t="s">
        <v>262</v>
      </c>
      <c r="AW121" s="788" t="s">
        <v>263</v>
      </c>
      <c r="AX121" s="788" t="s">
        <v>264</v>
      </c>
      <c r="AY121" s="788" t="s">
        <v>265</v>
      </c>
      <c r="AZ121" s="788" t="s">
        <v>266</v>
      </c>
      <c r="BA121" s="788" t="s">
        <v>267</v>
      </c>
      <c r="BB121" s="788" t="s">
        <v>268</v>
      </c>
      <c r="BC121" s="788" t="s">
        <v>269</v>
      </c>
      <c r="BD121" s="788" t="s">
        <v>270</v>
      </c>
      <c r="BE121" s="788" t="s">
        <v>271</v>
      </c>
      <c r="BF121" s="788" t="s">
        <v>272</v>
      </c>
      <c r="BG121" s="788" t="s">
        <v>273</v>
      </c>
      <c r="BH121" s="788" t="s">
        <v>274</v>
      </c>
      <c r="BI121" s="788" t="s">
        <v>275</v>
      </c>
      <c r="BJ121" s="788" t="s">
        <v>276</v>
      </c>
      <c r="BK121" s="788" t="s">
        <v>277</v>
      </c>
      <c r="BL121" s="788" t="s">
        <v>278</v>
      </c>
      <c r="BM121" s="788" t="s">
        <v>279</v>
      </c>
      <c r="BN121" s="788" t="s">
        <v>280</v>
      </c>
      <c r="BO121" s="788" t="s">
        <v>281</v>
      </c>
      <c r="BP121" s="788" t="s">
        <v>282</v>
      </c>
      <c r="BQ121" s="788" t="s">
        <v>283</v>
      </c>
      <c r="BR121" s="788" t="s">
        <v>284</v>
      </c>
      <c r="BS121" s="788" t="s">
        <v>285</v>
      </c>
      <c r="BT121" s="788" t="s">
        <v>286</v>
      </c>
      <c r="BU121" s="788" t="s">
        <v>287</v>
      </c>
      <c r="BV121" s="788" t="s">
        <v>288</v>
      </c>
      <c r="BW121" s="788" t="s">
        <v>289</v>
      </c>
      <c r="BX121" s="788" t="s">
        <v>290</v>
      </c>
      <c r="BY121" s="788" t="s">
        <v>291</v>
      </c>
      <c r="BZ121" s="788" t="s">
        <v>292</v>
      </c>
      <c r="CA121" s="788" t="s">
        <v>293</v>
      </c>
      <c r="CB121" s="788" t="s">
        <v>294</v>
      </c>
      <c r="CC121" s="788" t="s">
        <v>295</v>
      </c>
      <c r="CD121" s="788" t="s">
        <v>296</v>
      </c>
      <c r="CE121" s="788" t="s">
        <v>297</v>
      </c>
      <c r="CF121" s="788" t="s">
        <v>298</v>
      </c>
      <c r="CG121" s="788" t="s">
        <v>299</v>
      </c>
      <c r="CH121" s="788" t="s">
        <v>300</v>
      </c>
      <c r="CI121" s="789" t="s">
        <v>301</v>
      </c>
      <c r="CJ121" s="1476" t="s">
        <v>302</v>
      </c>
      <c r="CK121" s="1477" t="s">
        <v>476</v>
      </c>
      <c r="CL121" s="1477" t="s">
        <v>477</v>
      </c>
      <c r="CM121" s="1477" t="s">
        <v>478</v>
      </c>
      <c r="CN121" s="1477" t="s">
        <v>479</v>
      </c>
      <c r="CO121" s="1477" t="s">
        <v>480</v>
      </c>
      <c r="CP121" s="1477" t="s">
        <v>542</v>
      </c>
      <c r="CQ121" s="1477" t="s">
        <v>543</v>
      </c>
      <c r="CR121" s="1477" t="s">
        <v>544</v>
      </c>
      <c r="CS121" s="787" t="s">
        <v>545</v>
      </c>
    </row>
    <row r="122" spans="2:97" x14ac:dyDescent="0.35">
      <c r="B122" s="1143" t="s">
        <v>546</v>
      </c>
      <c r="C122" s="1144" t="s">
        <v>304</v>
      </c>
      <c r="D122" s="1145" t="s">
        <v>82</v>
      </c>
      <c r="E122" s="1146" t="s">
        <v>305</v>
      </c>
      <c r="F122" s="1147">
        <v>2</v>
      </c>
      <c r="G122" s="602">
        <f>G125+G127+G129+G175</f>
        <v>87.584627709999992</v>
      </c>
      <c r="H122" s="602">
        <f t="shared" ref="H122:BS122" si="48">H125+H127+H129+H175</f>
        <v>85.188187400000004</v>
      </c>
      <c r="I122" s="602">
        <f t="shared" si="48"/>
        <v>84.879863060000005</v>
      </c>
      <c r="J122" s="602">
        <f t="shared" si="48"/>
        <v>84.799520669999993</v>
      </c>
      <c r="K122" s="602">
        <f t="shared" si="48"/>
        <v>84.910098790000006</v>
      </c>
      <c r="L122" s="602">
        <f t="shared" si="48"/>
        <v>86.369777060000004</v>
      </c>
      <c r="M122" s="612">
        <f t="shared" si="48"/>
        <v>86.382121169999991</v>
      </c>
      <c r="N122" s="612">
        <f t="shared" si="48"/>
        <v>86.559262250000018</v>
      </c>
      <c r="O122" s="612">
        <f t="shared" si="48"/>
        <v>86.711627449999995</v>
      </c>
      <c r="P122" s="612">
        <f t="shared" si="48"/>
        <v>86.719526390000013</v>
      </c>
      <c r="Q122" s="612">
        <f t="shared" si="48"/>
        <v>86.440035167068316</v>
      </c>
      <c r="R122" s="612">
        <f t="shared" si="48"/>
        <v>86.338839798117689</v>
      </c>
      <c r="S122" s="612">
        <f t="shared" si="48"/>
        <v>111.07700687942312</v>
      </c>
      <c r="T122" s="612">
        <f t="shared" si="48"/>
        <v>111.78848427411303</v>
      </c>
      <c r="U122" s="612">
        <f t="shared" si="48"/>
        <v>111.55706352044817</v>
      </c>
      <c r="V122" s="612">
        <f t="shared" si="48"/>
        <v>111.21781129670153</v>
      </c>
      <c r="W122" s="612">
        <f t="shared" si="48"/>
        <v>111.22384010825304</v>
      </c>
      <c r="X122" s="612">
        <f t="shared" si="48"/>
        <v>129.20776984446221</v>
      </c>
      <c r="Y122" s="612">
        <f t="shared" si="48"/>
        <v>129.18182422903922</v>
      </c>
      <c r="Z122" s="612">
        <f t="shared" si="48"/>
        <v>129.09172047166723</v>
      </c>
      <c r="AA122" s="612">
        <f t="shared" si="48"/>
        <v>128.64876495929542</v>
      </c>
      <c r="AB122" s="612">
        <f t="shared" si="48"/>
        <v>128.55129574832338</v>
      </c>
      <c r="AC122" s="612">
        <f t="shared" si="48"/>
        <v>128.44071023177918</v>
      </c>
      <c r="AD122" s="612">
        <f t="shared" si="48"/>
        <v>128.32114237886674</v>
      </c>
      <c r="AE122" s="612">
        <f t="shared" si="48"/>
        <v>128.18369308931483</v>
      </c>
      <c r="AF122" s="612">
        <f t="shared" si="48"/>
        <v>128.02393536394075</v>
      </c>
      <c r="AG122" s="612">
        <f t="shared" si="48"/>
        <v>128.10734120771815</v>
      </c>
      <c r="AH122" s="612">
        <f t="shared" si="48"/>
        <v>128.1831305745456</v>
      </c>
      <c r="AI122" s="612">
        <f t="shared" si="48"/>
        <v>128.24688873413865</v>
      </c>
      <c r="AJ122" s="612">
        <f t="shared" si="48"/>
        <v>128.29452969117025</v>
      </c>
      <c r="AK122" s="612">
        <f t="shared" si="48"/>
        <v>128.27555458987808</v>
      </c>
      <c r="AL122" s="612">
        <f t="shared" si="48"/>
        <v>128.27632778889168</v>
      </c>
      <c r="AM122" s="612">
        <f t="shared" si="48"/>
        <v>128.27654865181472</v>
      </c>
      <c r="AN122" s="612">
        <f t="shared" si="48"/>
        <v>128.27402988606951</v>
      </c>
      <c r="AO122" s="612">
        <f t="shared" si="48"/>
        <v>128.38259020329315</v>
      </c>
      <c r="AP122" s="612">
        <f t="shared" si="48"/>
        <v>128.49140344947546</v>
      </c>
      <c r="AQ122" s="612">
        <f t="shared" si="48"/>
        <v>128.60054846152704</v>
      </c>
      <c r="AR122" s="612">
        <f t="shared" si="48"/>
        <v>128.70382114673347</v>
      </c>
      <c r="AS122" s="612">
        <f t="shared" si="48"/>
        <v>128.80270257268091</v>
      </c>
      <c r="AT122" s="612">
        <f t="shared" si="48"/>
        <v>128.90204473435534</v>
      </c>
      <c r="AU122" s="612">
        <f t="shared" si="48"/>
        <v>128.99906847792309</v>
      </c>
      <c r="AV122" s="612">
        <f t="shared" si="48"/>
        <v>129.09521045657951</v>
      </c>
      <c r="AW122" s="612">
        <f t="shared" si="48"/>
        <v>129.19185848741176</v>
      </c>
      <c r="AX122" s="612">
        <f t="shared" si="48"/>
        <v>129.28869018031398</v>
      </c>
      <c r="AY122" s="612">
        <f t="shared" si="48"/>
        <v>129.38769326787423</v>
      </c>
      <c r="AZ122" s="612">
        <f t="shared" si="48"/>
        <v>129.48897953913232</v>
      </c>
      <c r="BA122" s="612">
        <f t="shared" si="48"/>
        <v>129.59223954278173</v>
      </c>
      <c r="BB122" s="612">
        <f t="shared" si="48"/>
        <v>129.69552489159665</v>
      </c>
      <c r="BC122" s="612">
        <f t="shared" si="48"/>
        <v>129.80136288595452</v>
      </c>
      <c r="BD122" s="612">
        <f t="shared" si="48"/>
        <v>129.90887146285786</v>
      </c>
      <c r="BE122" s="612">
        <f t="shared" si="48"/>
        <v>130.01851851028249</v>
      </c>
      <c r="BF122" s="612">
        <f t="shared" si="48"/>
        <v>130.13231842427743</v>
      </c>
      <c r="BG122" s="612">
        <f t="shared" si="48"/>
        <v>130.24951238759243</v>
      </c>
      <c r="BH122" s="612">
        <f t="shared" si="48"/>
        <v>130.37046867120588</v>
      </c>
      <c r="BI122" s="612">
        <f t="shared" si="48"/>
        <v>130.49362567222508</v>
      </c>
      <c r="BJ122" s="612">
        <f t="shared" si="48"/>
        <v>130.61956654798666</v>
      </c>
      <c r="BK122" s="612">
        <f t="shared" si="48"/>
        <v>130.74819786968871</v>
      </c>
      <c r="BL122" s="612">
        <f t="shared" si="48"/>
        <v>130.8802876559032</v>
      </c>
      <c r="BM122" s="612">
        <f t="shared" si="48"/>
        <v>131.01707081119588</v>
      </c>
      <c r="BN122" s="612">
        <f t="shared" si="48"/>
        <v>131.1578976557542</v>
      </c>
      <c r="BO122" s="612">
        <f t="shared" si="48"/>
        <v>131.30406920002693</v>
      </c>
      <c r="BP122" s="612">
        <f t="shared" si="48"/>
        <v>131.45477011207228</v>
      </c>
      <c r="BQ122" s="612">
        <f t="shared" si="48"/>
        <v>131.60997275448705</v>
      </c>
      <c r="BR122" s="612">
        <f t="shared" si="48"/>
        <v>131.76721184165936</v>
      </c>
      <c r="BS122" s="612">
        <f t="shared" si="48"/>
        <v>131.92738288904022</v>
      </c>
      <c r="BT122" s="612">
        <f t="shared" ref="BT122:CI122" si="49">BT125+BT127+BT129+BT175</f>
        <v>132.09008340973008</v>
      </c>
      <c r="BU122" s="612">
        <f t="shared" si="49"/>
        <v>132.25608138179493</v>
      </c>
      <c r="BV122" s="612">
        <f t="shared" si="49"/>
        <v>132.42269311799194</v>
      </c>
      <c r="BW122" s="612">
        <f t="shared" si="49"/>
        <v>132.59120549311064</v>
      </c>
      <c r="BX122" s="612">
        <f t="shared" si="49"/>
        <v>132.76140546629696</v>
      </c>
      <c r="BY122" s="612">
        <f t="shared" si="49"/>
        <v>132.93379939440649</v>
      </c>
      <c r="BZ122" s="612">
        <f t="shared" si="49"/>
        <v>133.1071443340854</v>
      </c>
      <c r="CA122" s="612">
        <f t="shared" si="49"/>
        <v>133.28158450557183</v>
      </c>
      <c r="CB122" s="612">
        <f t="shared" si="49"/>
        <v>133.45520147295423</v>
      </c>
      <c r="CC122" s="612">
        <f t="shared" si="49"/>
        <v>133.62943874954794</v>
      </c>
      <c r="CD122" s="612">
        <f t="shared" si="49"/>
        <v>133.80289439750916</v>
      </c>
      <c r="CE122" s="612">
        <f t="shared" si="49"/>
        <v>133.97564271393</v>
      </c>
      <c r="CF122" s="612">
        <f t="shared" si="49"/>
        <v>134.1467404392173</v>
      </c>
      <c r="CG122" s="612">
        <f t="shared" si="49"/>
        <v>134.31661744189512</v>
      </c>
      <c r="CH122" s="612">
        <f t="shared" si="49"/>
        <v>134.40757860798098</v>
      </c>
      <c r="CI122" s="612">
        <f t="shared" si="49"/>
        <v>138.56153981700001</v>
      </c>
      <c r="CJ122" s="1478"/>
      <c r="CK122" s="1478"/>
      <c r="CL122" s="1478"/>
      <c r="CM122" s="1478"/>
      <c r="CN122" s="1478"/>
      <c r="CO122" s="1478"/>
      <c r="CP122" s="1478"/>
      <c r="CQ122" s="1478"/>
      <c r="CR122" s="1478"/>
      <c r="CS122" s="1478"/>
    </row>
    <row r="123" spans="2:97" x14ac:dyDescent="0.35">
      <c r="B123" s="1142" t="s">
        <v>547</v>
      </c>
      <c r="C123" s="1133" t="s">
        <v>548</v>
      </c>
      <c r="D123" s="1134" t="s">
        <v>549</v>
      </c>
      <c r="E123" s="1135" t="s">
        <v>305</v>
      </c>
      <c r="F123" s="1136">
        <v>2</v>
      </c>
      <c r="G123" s="880">
        <f>G25+G95</f>
        <v>0</v>
      </c>
      <c r="H123" s="880">
        <f t="shared" ref="H123:AL123" si="50">H25+H95</f>
        <v>0</v>
      </c>
      <c r="I123" s="880">
        <f t="shared" si="50"/>
        <v>0</v>
      </c>
      <c r="J123" s="880">
        <f t="shared" si="50"/>
        <v>0</v>
      </c>
      <c r="K123" s="880">
        <f t="shared" si="50"/>
        <v>0</v>
      </c>
      <c r="L123" s="880">
        <f t="shared" si="50"/>
        <v>0</v>
      </c>
      <c r="M123" s="880">
        <f t="shared" si="50"/>
        <v>0</v>
      </c>
      <c r="N123" s="880">
        <f t="shared" si="50"/>
        <v>0</v>
      </c>
      <c r="O123" s="880">
        <f t="shared" si="50"/>
        <v>0</v>
      </c>
      <c r="P123" s="880">
        <f t="shared" si="50"/>
        <v>0</v>
      </c>
      <c r="Q123" s="880">
        <f t="shared" si="50"/>
        <v>0</v>
      </c>
      <c r="R123" s="880">
        <f t="shared" si="50"/>
        <v>0</v>
      </c>
      <c r="S123" s="880">
        <f t="shared" si="50"/>
        <v>0</v>
      </c>
      <c r="T123" s="880">
        <f t="shared" si="50"/>
        <v>0</v>
      </c>
      <c r="U123" s="880">
        <f t="shared" si="50"/>
        <v>0</v>
      </c>
      <c r="V123" s="880">
        <f t="shared" si="50"/>
        <v>0</v>
      </c>
      <c r="W123" s="880">
        <f t="shared" si="50"/>
        <v>0</v>
      </c>
      <c r="X123" s="880">
        <f t="shared" si="50"/>
        <v>0</v>
      </c>
      <c r="Y123" s="880">
        <f t="shared" si="50"/>
        <v>0</v>
      </c>
      <c r="Z123" s="880">
        <f t="shared" si="50"/>
        <v>0</v>
      </c>
      <c r="AA123" s="880">
        <f t="shared" si="50"/>
        <v>0</v>
      </c>
      <c r="AB123" s="880">
        <f t="shared" si="50"/>
        <v>0</v>
      </c>
      <c r="AC123" s="880">
        <f t="shared" si="50"/>
        <v>0</v>
      </c>
      <c r="AD123" s="880">
        <f t="shared" si="50"/>
        <v>0</v>
      </c>
      <c r="AE123" s="880">
        <f t="shared" si="50"/>
        <v>0</v>
      </c>
      <c r="AF123" s="880">
        <f t="shared" si="50"/>
        <v>0</v>
      </c>
      <c r="AG123" s="880">
        <f t="shared" si="50"/>
        <v>0</v>
      </c>
      <c r="AH123" s="880">
        <f t="shared" si="50"/>
        <v>0</v>
      </c>
      <c r="AI123" s="880">
        <f t="shared" si="50"/>
        <v>0</v>
      </c>
      <c r="AJ123" s="880">
        <f t="shared" si="50"/>
        <v>0</v>
      </c>
      <c r="AK123" s="880">
        <f t="shared" si="50"/>
        <v>0</v>
      </c>
      <c r="AL123" s="880">
        <f t="shared" si="50"/>
        <v>0</v>
      </c>
      <c r="AM123" s="880">
        <f t="shared" ref="AM123:BR123" si="51">AM25+AM95</f>
        <v>0</v>
      </c>
      <c r="AN123" s="880">
        <f t="shared" si="51"/>
        <v>0</v>
      </c>
      <c r="AO123" s="880">
        <f t="shared" si="51"/>
        <v>0</v>
      </c>
      <c r="AP123" s="880">
        <f t="shared" si="51"/>
        <v>0</v>
      </c>
      <c r="AQ123" s="880">
        <f t="shared" si="51"/>
        <v>0</v>
      </c>
      <c r="AR123" s="880">
        <f t="shared" si="51"/>
        <v>0</v>
      </c>
      <c r="AS123" s="880">
        <f t="shared" si="51"/>
        <v>0</v>
      </c>
      <c r="AT123" s="880">
        <f t="shared" si="51"/>
        <v>0</v>
      </c>
      <c r="AU123" s="880">
        <f t="shared" si="51"/>
        <v>0</v>
      </c>
      <c r="AV123" s="880">
        <f t="shared" si="51"/>
        <v>0</v>
      </c>
      <c r="AW123" s="880">
        <f t="shared" si="51"/>
        <v>0</v>
      </c>
      <c r="AX123" s="880">
        <f t="shared" si="51"/>
        <v>0</v>
      </c>
      <c r="AY123" s="880">
        <f t="shared" si="51"/>
        <v>0</v>
      </c>
      <c r="AZ123" s="880">
        <f t="shared" si="51"/>
        <v>0</v>
      </c>
      <c r="BA123" s="880">
        <f t="shared" si="51"/>
        <v>0</v>
      </c>
      <c r="BB123" s="880">
        <f t="shared" si="51"/>
        <v>0</v>
      </c>
      <c r="BC123" s="880">
        <f t="shared" si="51"/>
        <v>0</v>
      </c>
      <c r="BD123" s="880">
        <f t="shared" si="51"/>
        <v>0</v>
      </c>
      <c r="BE123" s="880">
        <f t="shared" si="51"/>
        <v>0</v>
      </c>
      <c r="BF123" s="880">
        <f t="shared" si="51"/>
        <v>0</v>
      </c>
      <c r="BG123" s="880">
        <f t="shared" si="51"/>
        <v>0</v>
      </c>
      <c r="BH123" s="880">
        <f t="shared" si="51"/>
        <v>0</v>
      </c>
      <c r="BI123" s="880">
        <f t="shared" si="51"/>
        <v>0</v>
      </c>
      <c r="BJ123" s="880">
        <f t="shared" si="51"/>
        <v>0</v>
      </c>
      <c r="BK123" s="880">
        <f t="shared" si="51"/>
        <v>0</v>
      </c>
      <c r="BL123" s="880">
        <f t="shared" si="51"/>
        <v>0</v>
      </c>
      <c r="BM123" s="880">
        <f t="shared" si="51"/>
        <v>0</v>
      </c>
      <c r="BN123" s="880">
        <f t="shared" si="51"/>
        <v>0</v>
      </c>
      <c r="BO123" s="880">
        <f t="shared" si="51"/>
        <v>0</v>
      </c>
      <c r="BP123" s="880">
        <f t="shared" si="51"/>
        <v>0</v>
      </c>
      <c r="BQ123" s="880">
        <f t="shared" si="51"/>
        <v>0</v>
      </c>
      <c r="BR123" s="880">
        <f t="shared" si="51"/>
        <v>0</v>
      </c>
      <c r="BS123" s="880">
        <f t="shared" ref="BS123:CI123" si="52">BS25+BS95</f>
        <v>0.5</v>
      </c>
      <c r="BT123" s="880">
        <f t="shared" si="52"/>
        <v>0.5</v>
      </c>
      <c r="BU123" s="880">
        <f t="shared" si="52"/>
        <v>0.5</v>
      </c>
      <c r="BV123" s="880">
        <f t="shared" si="52"/>
        <v>0.5</v>
      </c>
      <c r="BW123" s="880">
        <f t="shared" si="52"/>
        <v>0.5</v>
      </c>
      <c r="BX123" s="880">
        <f t="shared" si="52"/>
        <v>1.4</v>
      </c>
      <c r="BY123" s="880">
        <f t="shared" si="52"/>
        <v>1.4</v>
      </c>
      <c r="BZ123" s="880">
        <f t="shared" si="52"/>
        <v>1.4</v>
      </c>
      <c r="CA123" s="880">
        <f t="shared" si="52"/>
        <v>1.4</v>
      </c>
      <c r="CB123" s="880">
        <f t="shared" si="52"/>
        <v>1.4</v>
      </c>
      <c r="CC123" s="880">
        <f t="shared" si="52"/>
        <v>1.4</v>
      </c>
      <c r="CD123" s="880">
        <f t="shared" si="52"/>
        <v>1.4</v>
      </c>
      <c r="CE123" s="880">
        <f t="shared" si="52"/>
        <v>1.4</v>
      </c>
      <c r="CF123" s="880">
        <f t="shared" si="52"/>
        <v>1.4</v>
      </c>
      <c r="CG123" s="880">
        <f t="shared" si="52"/>
        <v>1.4</v>
      </c>
      <c r="CH123" s="880">
        <f t="shared" si="52"/>
        <v>1.4</v>
      </c>
      <c r="CI123" s="803">
        <f t="shared" si="52"/>
        <v>1.4</v>
      </c>
      <c r="CJ123" s="1478"/>
      <c r="CK123" s="1478"/>
      <c r="CL123" s="1478"/>
      <c r="CM123" s="1478"/>
      <c r="CN123" s="1478"/>
      <c r="CO123" s="1478"/>
      <c r="CP123" s="1478"/>
      <c r="CQ123" s="1478"/>
      <c r="CR123" s="1478"/>
      <c r="CS123" s="1478"/>
    </row>
    <row r="124" spans="2:97" x14ac:dyDescent="0.35">
      <c r="B124" s="1132" t="s">
        <v>550</v>
      </c>
      <c r="C124" s="1133" t="s">
        <v>309</v>
      </c>
      <c r="D124" s="1134" t="s">
        <v>551</v>
      </c>
      <c r="E124" s="1135" t="s">
        <v>305</v>
      </c>
      <c r="F124" s="1136">
        <v>2</v>
      </c>
      <c r="G124" s="642">
        <f t="shared" ref="G124:AL124" si="53">G26+G96</f>
        <v>0</v>
      </c>
      <c r="H124" s="642">
        <f t="shared" si="53"/>
        <v>0</v>
      </c>
      <c r="I124" s="642">
        <f t="shared" si="53"/>
        <v>0</v>
      </c>
      <c r="J124" s="642">
        <f t="shared" si="53"/>
        <v>0</v>
      </c>
      <c r="K124" s="642">
        <f t="shared" si="53"/>
        <v>0</v>
      </c>
      <c r="L124" s="642">
        <f t="shared" si="53"/>
        <v>0</v>
      </c>
      <c r="M124" s="802">
        <f t="shared" si="53"/>
        <v>0</v>
      </c>
      <c r="N124" s="802">
        <f t="shared" si="53"/>
        <v>0</v>
      </c>
      <c r="O124" s="802">
        <f t="shared" si="53"/>
        <v>0</v>
      </c>
      <c r="P124" s="802">
        <f t="shared" si="53"/>
        <v>0</v>
      </c>
      <c r="Q124" s="802">
        <f t="shared" si="53"/>
        <v>0</v>
      </c>
      <c r="R124" s="802">
        <f t="shared" si="53"/>
        <v>0</v>
      </c>
      <c r="S124" s="802">
        <f t="shared" si="53"/>
        <v>0</v>
      </c>
      <c r="T124" s="802">
        <f t="shared" si="53"/>
        <v>0</v>
      </c>
      <c r="U124" s="802">
        <f t="shared" si="53"/>
        <v>0</v>
      </c>
      <c r="V124" s="802">
        <f t="shared" si="53"/>
        <v>0</v>
      </c>
      <c r="W124" s="802">
        <f t="shared" si="53"/>
        <v>0</v>
      </c>
      <c r="X124" s="802">
        <f t="shared" si="53"/>
        <v>0</v>
      </c>
      <c r="Y124" s="802">
        <f t="shared" si="53"/>
        <v>0</v>
      </c>
      <c r="Z124" s="802">
        <f t="shared" si="53"/>
        <v>0</v>
      </c>
      <c r="AA124" s="802">
        <f t="shared" si="53"/>
        <v>0</v>
      </c>
      <c r="AB124" s="802">
        <f t="shared" si="53"/>
        <v>0</v>
      </c>
      <c r="AC124" s="802">
        <f t="shared" si="53"/>
        <v>0</v>
      </c>
      <c r="AD124" s="802">
        <f t="shared" si="53"/>
        <v>0</v>
      </c>
      <c r="AE124" s="802">
        <f t="shared" si="53"/>
        <v>0</v>
      </c>
      <c r="AF124" s="802">
        <f t="shared" si="53"/>
        <v>0</v>
      </c>
      <c r="AG124" s="802">
        <f t="shared" si="53"/>
        <v>0</v>
      </c>
      <c r="AH124" s="802">
        <f t="shared" si="53"/>
        <v>0</v>
      </c>
      <c r="AI124" s="802">
        <f t="shared" si="53"/>
        <v>0</v>
      </c>
      <c r="AJ124" s="802">
        <f t="shared" si="53"/>
        <v>0</v>
      </c>
      <c r="AK124" s="802">
        <f t="shared" si="53"/>
        <v>0</v>
      </c>
      <c r="AL124" s="802">
        <f t="shared" si="53"/>
        <v>0</v>
      </c>
      <c r="AM124" s="802">
        <f t="shared" ref="AM124:BR124" si="54">AM26+AM96</f>
        <v>0</v>
      </c>
      <c r="AN124" s="802">
        <f t="shared" si="54"/>
        <v>0</v>
      </c>
      <c r="AO124" s="802">
        <f t="shared" si="54"/>
        <v>0</v>
      </c>
      <c r="AP124" s="802">
        <f t="shared" si="54"/>
        <v>0</v>
      </c>
      <c r="AQ124" s="802">
        <f t="shared" si="54"/>
        <v>0</v>
      </c>
      <c r="AR124" s="802">
        <f t="shared" si="54"/>
        <v>0</v>
      </c>
      <c r="AS124" s="802">
        <f t="shared" si="54"/>
        <v>0</v>
      </c>
      <c r="AT124" s="802">
        <f t="shared" si="54"/>
        <v>0</v>
      </c>
      <c r="AU124" s="802">
        <f t="shared" si="54"/>
        <v>0</v>
      </c>
      <c r="AV124" s="802">
        <f t="shared" si="54"/>
        <v>0</v>
      </c>
      <c r="AW124" s="802">
        <f t="shared" si="54"/>
        <v>0</v>
      </c>
      <c r="AX124" s="802">
        <f t="shared" si="54"/>
        <v>0</v>
      </c>
      <c r="AY124" s="802">
        <f t="shared" si="54"/>
        <v>0</v>
      </c>
      <c r="AZ124" s="802">
        <f t="shared" si="54"/>
        <v>0</v>
      </c>
      <c r="BA124" s="802">
        <f t="shared" si="54"/>
        <v>0</v>
      </c>
      <c r="BB124" s="802">
        <f t="shared" si="54"/>
        <v>0</v>
      </c>
      <c r="BC124" s="802">
        <f t="shared" si="54"/>
        <v>0</v>
      </c>
      <c r="BD124" s="802">
        <f t="shared" si="54"/>
        <v>0</v>
      </c>
      <c r="BE124" s="802">
        <f t="shared" si="54"/>
        <v>0</v>
      </c>
      <c r="BF124" s="802">
        <f t="shared" si="54"/>
        <v>0</v>
      </c>
      <c r="BG124" s="802">
        <f t="shared" si="54"/>
        <v>0</v>
      </c>
      <c r="BH124" s="802">
        <f t="shared" si="54"/>
        <v>0</v>
      </c>
      <c r="BI124" s="802">
        <f t="shared" si="54"/>
        <v>0</v>
      </c>
      <c r="BJ124" s="802">
        <f t="shared" si="54"/>
        <v>0</v>
      </c>
      <c r="BK124" s="802">
        <f t="shared" si="54"/>
        <v>0</v>
      </c>
      <c r="BL124" s="802">
        <f t="shared" si="54"/>
        <v>0</v>
      </c>
      <c r="BM124" s="802">
        <f t="shared" si="54"/>
        <v>0</v>
      </c>
      <c r="BN124" s="802">
        <f t="shared" si="54"/>
        <v>0</v>
      </c>
      <c r="BO124" s="802">
        <f t="shared" si="54"/>
        <v>0</v>
      </c>
      <c r="BP124" s="802">
        <f t="shared" si="54"/>
        <v>0</v>
      </c>
      <c r="BQ124" s="802">
        <f t="shared" si="54"/>
        <v>0</v>
      </c>
      <c r="BR124" s="802">
        <f t="shared" si="54"/>
        <v>0</v>
      </c>
      <c r="BS124" s="802">
        <f t="shared" ref="BS124:CI124" si="55">BS26+BS96</f>
        <v>0</v>
      </c>
      <c r="BT124" s="802">
        <f t="shared" si="55"/>
        <v>0</v>
      </c>
      <c r="BU124" s="802">
        <f t="shared" si="55"/>
        <v>0</v>
      </c>
      <c r="BV124" s="802">
        <f t="shared" si="55"/>
        <v>0</v>
      </c>
      <c r="BW124" s="802">
        <f t="shared" si="55"/>
        <v>0</v>
      </c>
      <c r="BX124" s="802">
        <f t="shared" si="55"/>
        <v>0</v>
      </c>
      <c r="BY124" s="802">
        <f t="shared" si="55"/>
        <v>0</v>
      </c>
      <c r="BZ124" s="802">
        <f t="shared" si="55"/>
        <v>0</v>
      </c>
      <c r="CA124" s="802">
        <f t="shared" si="55"/>
        <v>0</v>
      </c>
      <c r="CB124" s="802">
        <f t="shared" si="55"/>
        <v>0</v>
      </c>
      <c r="CC124" s="802">
        <f t="shared" si="55"/>
        <v>0</v>
      </c>
      <c r="CD124" s="802">
        <f t="shared" si="55"/>
        <v>0</v>
      </c>
      <c r="CE124" s="802">
        <f t="shared" si="55"/>
        <v>0</v>
      </c>
      <c r="CF124" s="802">
        <f t="shared" si="55"/>
        <v>0</v>
      </c>
      <c r="CG124" s="802">
        <f t="shared" si="55"/>
        <v>0</v>
      </c>
      <c r="CH124" s="802">
        <f t="shared" si="55"/>
        <v>0</v>
      </c>
      <c r="CI124" s="803">
        <f t="shared" si="55"/>
        <v>0</v>
      </c>
      <c r="CJ124" s="1478"/>
      <c r="CK124" s="1478"/>
      <c r="CL124" s="1478"/>
      <c r="CM124" s="1478"/>
      <c r="CN124" s="1478"/>
      <c r="CO124" s="1478"/>
      <c r="CP124" s="1478"/>
      <c r="CQ124" s="1478"/>
      <c r="CR124" s="1478"/>
      <c r="CS124" s="1478"/>
    </row>
    <row r="125" spans="2:97" x14ac:dyDescent="0.35">
      <c r="B125" s="797" t="s">
        <v>552</v>
      </c>
      <c r="C125" s="798" t="s">
        <v>311</v>
      </c>
      <c r="D125" s="799" t="s">
        <v>553</v>
      </c>
      <c r="E125" s="800" t="s">
        <v>305</v>
      </c>
      <c r="F125" s="801">
        <v>2</v>
      </c>
      <c r="G125" s="642">
        <f t="shared" ref="G125:AL125" si="56">G27+G97</f>
        <v>0.06</v>
      </c>
      <c r="H125" s="642">
        <f t="shared" si="56"/>
        <v>0.06</v>
      </c>
      <c r="I125" s="642">
        <f t="shared" si="56"/>
        <v>0.06</v>
      </c>
      <c r="J125" s="642">
        <f t="shared" si="56"/>
        <v>0.06</v>
      </c>
      <c r="K125" s="642">
        <f t="shared" si="56"/>
        <v>0.06</v>
      </c>
      <c r="L125" s="642">
        <f t="shared" si="56"/>
        <v>0.06</v>
      </c>
      <c r="M125" s="802">
        <f t="shared" si="56"/>
        <v>0.06</v>
      </c>
      <c r="N125" s="802">
        <f t="shared" si="56"/>
        <v>0.06</v>
      </c>
      <c r="O125" s="802">
        <f t="shared" si="56"/>
        <v>0.06</v>
      </c>
      <c r="P125" s="802">
        <f t="shared" si="56"/>
        <v>0.06</v>
      </c>
      <c r="Q125" s="802">
        <f t="shared" si="56"/>
        <v>0.06</v>
      </c>
      <c r="R125" s="802">
        <f t="shared" si="56"/>
        <v>0.06</v>
      </c>
      <c r="S125" s="802">
        <f t="shared" si="56"/>
        <v>25.06</v>
      </c>
      <c r="T125" s="802">
        <f t="shared" si="56"/>
        <v>26.06</v>
      </c>
      <c r="U125" s="802">
        <f t="shared" si="56"/>
        <v>26.06</v>
      </c>
      <c r="V125" s="802">
        <f t="shared" si="56"/>
        <v>26.06</v>
      </c>
      <c r="W125" s="802">
        <f t="shared" si="56"/>
        <v>26.06</v>
      </c>
      <c r="X125" s="802">
        <f t="shared" si="56"/>
        <v>44.06</v>
      </c>
      <c r="Y125" s="802">
        <f t="shared" si="56"/>
        <v>44.06</v>
      </c>
      <c r="Z125" s="802">
        <f t="shared" si="56"/>
        <v>44.06</v>
      </c>
      <c r="AA125" s="802">
        <f t="shared" si="56"/>
        <v>44.06</v>
      </c>
      <c r="AB125" s="802">
        <f t="shared" si="56"/>
        <v>44.06</v>
      </c>
      <c r="AC125" s="802">
        <f t="shared" si="56"/>
        <v>44.06</v>
      </c>
      <c r="AD125" s="802">
        <f t="shared" si="56"/>
        <v>44.06</v>
      </c>
      <c r="AE125" s="802">
        <f t="shared" si="56"/>
        <v>44.06</v>
      </c>
      <c r="AF125" s="802">
        <f t="shared" si="56"/>
        <v>44.06</v>
      </c>
      <c r="AG125" s="802">
        <f t="shared" si="56"/>
        <v>44.06</v>
      </c>
      <c r="AH125" s="802">
        <f t="shared" si="56"/>
        <v>44.06</v>
      </c>
      <c r="AI125" s="802">
        <f t="shared" si="56"/>
        <v>44.06</v>
      </c>
      <c r="AJ125" s="802">
        <f t="shared" si="56"/>
        <v>44.06</v>
      </c>
      <c r="AK125" s="802">
        <f t="shared" si="56"/>
        <v>44.06</v>
      </c>
      <c r="AL125" s="802">
        <f t="shared" si="56"/>
        <v>44.06</v>
      </c>
      <c r="AM125" s="802">
        <f t="shared" ref="AM125:BR125" si="57">AM27+AM97</f>
        <v>44.06</v>
      </c>
      <c r="AN125" s="802">
        <f t="shared" si="57"/>
        <v>44.06</v>
      </c>
      <c r="AO125" s="802">
        <f t="shared" si="57"/>
        <v>44.06</v>
      </c>
      <c r="AP125" s="802">
        <f t="shared" si="57"/>
        <v>44.06</v>
      </c>
      <c r="AQ125" s="802">
        <f t="shared" si="57"/>
        <v>44.06</v>
      </c>
      <c r="AR125" s="802">
        <f t="shared" si="57"/>
        <v>44.06</v>
      </c>
      <c r="AS125" s="802">
        <f t="shared" si="57"/>
        <v>44.06</v>
      </c>
      <c r="AT125" s="802">
        <f t="shared" si="57"/>
        <v>44.06</v>
      </c>
      <c r="AU125" s="802">
        <f t="shared" si="57"/>
        <v>44.06</v>
      </c>
      <c r="AV125" s="802">
        <f t="shared" si="57"/>
        <v>44.06</v>
      </c>
      <c r="AW125" s="802">
        <f t="shared" si="57"/>
        <v>44.06</v>
      </c>
      <c r="AX125" s="802">
        <f t="shared" si="57"/>
        <v>44.06</v>
      </c>
      <c r="AY125" s="802">
        <f t="shared" si="57"/>
        <v>44.06</v>
      </c>
      <c r="AZ125" s="802">
        <f t="shared" si="57"/>
        <v>44.06</v>
      </c>
      <c r="BA125" s="802">
        <f t="shared" si="57"/>
        <v>44.06</v>
      </c>
      <c r="BB125" s="802">
        <f t="shared" si="57"/>
        <v>44.06</v>
      </c>
      <c r="BC125" s="802">
        <f t="shared" si="57"/>
        <v>44.06</v>
      </c>
      <c r="BD125" s="802">
        <f t="shared" si="57"/>
        <v>44.06</v>
      </c>
      <c r="BE125" s="802">
        <f t="shared" si="57"/>
        <v>44.06</v>
      </c>
      <c r="BF125" s="802">
        <f t="shared" si="57"/>
        <v>44.06</v>
      </c>
      <c r="BG125" s="802">
        <f t="shared" si="57"/>
        <v>44.06</v>
      </c>
      <c r="BH125" s="802">
        <f t="shared" si="57"/>
        <v>44.06</v>
      </c>
      <c r="BI125" s="802">
        <f t="shared" si="57"/>
        <v>44.06</v>
      </c>
      <c r="BJ125" s="802">
        <f t="shared" si="57"/>
        <v>44.06</v>
      </c>
      <c r="BK125" s="802">
        <f t="shared" si="57"/>
        <v>44.06</v>
      </c>
      <c r="BL125" s="802">
        <f t="shared" si="57"/>
        <v>44.06</v>
      </c>
      <c r="BM125" s="802">
        <f t="shared" si="57"/>
        <v>44.06</v>
      </c>
      <c r="BN125" s="802">
        <f t="shared" si="57"/>
        <v>44.06</v>
      </c>
      <c r="BO125" s="802">
        <f t="shared" si="57"/>
        <v>44.06</v>
      </c>
      <c r="BP125" s="802">
        <f t="shared" si="57"/>
        <v>44.06</v>
      </c>
      <c r="BQ125" s="802">
        <f t="shared" si="57"/>
        <v>44.06</v>
      </c>
      <c r="BR125" s="802">
        <f t="shared" si="57"/>
        <v>44.06</v>
      </c>
      <c r="BS125" s="802">
        <f t="shared" ref="BS125:CI125" si="58">BS27+BS97</f>
        <v>44.06</v>
      </c>
      <c r="BT125" s="802">
        <f t="shared" si="58"/>
        <v>44.06</v>
      </c>
      <c r="BU125" s="802">
        <f t="shared" si="58"/>
        <v>44.06</v>
      </c>
      <c r="BV125" s="802">
        <f t="shared" si="58"/>
        <v>44.06</v>
      </c>
      <c r="BW125" s="802">
        <f t="shared" si="58"/>
        <v>44.06</v>
      </c>
      <c r="BX125" s="802">
        <f t="shared" si="58"/>
        <v>44.06</v>
      </c>
      <c r="BY125" s="802">
        <f t="shared" si="58"/>
        <v>44.06</v>
      </c>
      <c r="BZ125" s="802">
        <f t="shared" si="58"/>
        <v>44.06</v>
      </c>
      <c r="CA125" s="802">
        <f t="shared" si="58"/>
        <v>44.06</v>
      </c>
      <c r="CB125" s="802">
        <f t="shared" si="58"/>
        <v>44.06</v>
      </c>
      <c r="CC125" s="802">
        <f t="shared" si="58"/>
        <v>44.06</v>
      </c>
      <c r="CD125" s="802">
        <f t="shared" si="58"/>
        <v>44.06</v>
      </c>
      <c r="CE125" s="802">
        <f t="shared" si="58"/>
        <v>44.06</v>
      </c>
      <c r="CF125" s="802">
        <f t="shared" si="58"/>
        <v>44.06</v>
      </c>
      <c r="CG125" s="802">
        <f t="shared" si="58"/>
        <v>44.06</v>
      </c>
      <c r="CH125" s="802">
        <f t="shared" si="58"/>
        <v>44.06</v>
      </c>
      <c r="CI125" s="803">
        <f t="shared" si="58"/>
        <v>44.06</v>
      </c>
      <c r="CJ125" s="1478"/>
      <c r="CK125" s="1478"/>
      <c r="CL125" s="1478"/>
      <c r="CM125" s="1478"/>
      <c r="CN125" s="1478"/>
      <c r="CO125" s="1478"/>
      <c r="CP125" s="1478"/>
      <c r="CQ125" s="1478"/>
      <c r="CR125" s="1478"/>
      <c r="CS125" s="1478"/>
    </row>
    <row r="126" spans="2:97" x14ac:dyDescent="0.35">
      <c r="B126" s="804" t="s">
        <v>554</v>
      </c>
      <c r="C126" s="798" t="s">
        <v>313</v>
      </c>
      <c r="D126" s="799" t="s">
        <v>555</v>
      </c>
      <c r="E126" s="800" t="s">
        <v>305</v>
      </c>
      <c r="F126" s="801">
        <v>2</v>
      </c>
      <c r="G126" s="642">
        <f t="shared" ref="G126:AL126" si="59">G28+G98</f>
        <v>0</v>
      </c>
      <c r="H126" s="642">
        <f t="shared" si="59"/>
        <v>0</v>
      </c>
      <c r="I126" s="642">
        <f>I28+I98</f>
        <v>0</v>
      </c>
      <c r="J126" s="642">
        <f t="shared" si="59"/>
        <v>0</v>
      </c>
      <c r="K126" s="642">
        <f t="shared" si="59"/>
        <v>0</v>
      </c>
      <c r="L126" s="642">
        <f>L28+L98</f>
        <v>0</v>
      </c>
      <c r="M126" s="642">
        <f t="shared" si="59"/>
        <v>0</v>
      </c>
      <c r="N126" s="642">
        <f t="shared" si="59"/>
        <v>0</v>
      </c>
      <c r="O126" s="642">
        <f t="shared" si="59"/>
        <v>0</v>
      </c>
      <c r="P126" s="642">
        <f t="shared" si="59"/>
        <v>0</v>
      </c>
      <c r="Q126" s="642">
        <f t="shared" si="59"/>
        <v>0</v>
      </c>
      <c r="R126" s="642">
        <f t="shared" si="59"/>
        <v>0</v>
      </c>
      <c r="S126" s="642">
        <f t="shared" si="59"/>
        <v>0</v>
      </c>
      <c r="T126" s="642">
        <f t="shared" si="59"/>
        <v>0</v>
      </c>
      <c r="U126" s="642">
        <f t="shared" si="59"/>
        <v>0</v>
      </c>
      <c r="V126" s="642">
        <f t="shared" si="59"/>
        <v>0</v>
      </c>
      <c r="W126" s="642">
        <f t="shared" si="59"/>
        <v>0</v>
      </c>
      <c r="X126" s="642">
        <f t="shared" si="59"/>
        <v>0</v>
      </c>
      <c r="Y126" s="642">
        <f t="shared" si="59"/>
        <v>0</v>
      </c>
      <c r="Z126" s="642">
        <f t="shared" si="59"/>
        <v>0</v>
      </c>
      <c r="AA126" s="642">
        <f t="shared" si="59"/>
        <v>0</v>
      </c>
      <c r="AB126" s="642">
        <f t="shared" si="59"/>
        <v>0</v>
      </c>
      <c r="AC126" s="642">
        <f t="shared" si="59"/>
        <v>0</v>
      </c>
      <c r="AD126" s="642">
        <f t="shared" si="59"/>
        <v>0</v>
      </c>
      <c r="AE126" s="642">
        <f t="shared" si="59"/>
        <v>0</v>
      </c>
      <c r="AF126" s="642">
        <f t="shared" si="59"/>
        <v>0</v>
      </c>
      <c r="AG126" s="642">
        <f t="shared" si="59"/>
        <v>0</v>
      </c>
      <c r="AH126" s="642">
        <f t="shared" si="59"/>
        <v>0</v>
      </c>
      <c r="AI126" s="642">
        <f t="shared" si="59"/>
        <v>0</v>
      </c>
      <c r="AJ126" s="642">
        <f t="shared" si="59"/>
        <v>0</v>
      </c>
      <c r="AK126" s="642">
        <f t="shared" si="59"/>
        <v>0</v>
      </c>
      <c r="AL126" s="642">
        <f t="shared" si="59"/>
        <v>0</v>
      </c>
      <c r="AM126" s="642">
        <f t="shared" ref="AM126:BR126" si="60">AM28+AM98</f>
        <v>0</v>
      </c>
      <c r="AN126" s="642">
        <f t="shared" si="60"/>
        <v>0</v>
      </c>
      <c r="AO126" s="642">
        <f t="shared" si="60"/>
        <v>0</v>
      </c>
      <c r="AP126" s="642">
        <f t="shared" si="60"/>
        <v>0</v>
      </c>
      <c r="AQ126" s="642">
        <f t="shared" si="60"/>
        <v>0</v>
      </c>
      <c r="AR126" s="642">
        <f t="shared" si="60"/>
        <v>0</v>
      </c>
      <c r="AS126" s="642">
        <f t="shared" si="60"/>
        <v>0</v>
      </c>
      <c r="AT126" s="642">
        <f t="shared" si="60"/>
        <v>0</v>
      </c>
      <c r="AU126" s="642">
        <f t="shared" si="60"/>
        <v>0</v>
      </c>
      <c r="AV126" s="642">
        <f t="shared" si="60"/>
        <v>0</v>
      </c>
      <c r="AW126" s="642">
        <f t="shared" si="60"/>
        <v>0</v>
      </c>
      <c r="AX126" s="642">
        <f t="shared" si="60"/>
        <v>0</v>
      </c>
      <c r="AY126" s="642">
        <f t="shared" si="60"/>
        <v>0</v>
      </c>
      <c r="AZ126" s="642">
        <f t="shared" si="60"/>
        <v>0</v>
      </c>
      <c r="BA126" s="642">
        <f t="shared" si="60"/>
        <v>0</v>
      </c>
      <c r="BB126" s="642">
        <f t="shared" si="60"/>
        <v>0</v>
      </c>
      <c r="BC126" s="642">
        <f t="shared" si="60"/>
        <v>0</v>
      </c>
      <c r="BD126" s="642">
        <f t="shared" si="60"/>
        <v>0</v>
      </c>
      <c r="BE126" s="642">
        <f t="shared" si="60"/>
        <v>0</v>
      </c>
      <c r="BF126" s="642">
        <f t="shared" si="60"/>
        <v>0</v>
      </c>
      <c r="BG126" s="642">
        <f t="shared" si="60"/>
        <v>0</v>
      </c>
      <c r="BH126" s="642">
        <f t="shared" si="60"/>
        <v>0</v>
      </c>
      <c r="BI126" s="642">
        <f t="shared" si="60"/>
        <v>0</v>
      </c>
      <c r="BJ126" s="642">
        <f t="shared" si="60"/>
        <v>0</v>
      </c>
      <c r="BK126" s="642">
        <f t="shared" si="60"/>
        <v>0</v>
      </c>
      <c r="BL126" s="642">
        <f t="shared" si="60"/>
        <v>0</v>
      </c>
      <c r="BM126" s="642">
        <f t="shared" si="60"/>
        <v>0</v>
      </c>
      <c r="BN126" s="642">
        <f t="shared" si="60"/>
        <v>0</v>
      </c>
      <c r="BO126" s="642">
        <f t="shared" si="60"/>
        <v>0</v>
      </c>
      <c r="BP126" s="642">
        <f t="shared" si="60"/>
        <v>0</v>
      </c>
      <c r="BQ126" s="642">
        <f t="shared" si="60"/>
        <v>0</v>
      </c>
      <c r="BR126" s="642">
        <f t="shared" si="60"/>
        <v>0</v>
      </c>
      <c r="BS126" s="642">
        <f t="shared" ref="BS126:CI126" si="61">BS28+BS98</f>
        <v>0</v>
      </c>
      <c r="BT126" s="642">
        <f t="shared" si="61"/>
        <v>0</v>
      </c>
      <c r="BU126" s="642">
        <f t="shared" si="61"/>
        <v>0</v>
      </c>
      <c r="BV126" s="642">
        <f t="shared" si="61"/>
        <v>0</v>
      </c>
      <c r="BW126" s="642">
        <f t="shared" si="61"/>
        <v>0</v>
      </c>
      <c r="BX126" s="642">
        <f t="shared" si="61"/>
        <v>0</v>
      </c>
      <c r="BY126" s="642">
        <f t="shared" si="61"/>
        <v>0</v>
      </c>
      <c r="BZ126" s="642">
        <f t="shared" si="61"/>
        <v>0</v>
      </c>
      <c r="CA126" s="642">
        <f t="shared" si="61"/>
        <v>0</v>
      </c>
      <c r="CB126" s="642">
        <f t="shared" si="61"/>
        <v>0</v>
      </c>
      <c r="CC126" s="642">
        <f t="shared" si="61"/>
        <v>0</v>
      </c>
      <c r="CD126" s="642">
        <f t="shared" si="61"/>
        <v>0</v>
      </c>
      <c r="CE126" s="642">
        <f t="shared" si="61"/>
        <v>0</v>
      </c>
      <c r="CF126" s="642">
        <f t="shared" si="61"/>
        <v>0</v>
      </c>
      <c r="CG126" s="642">
        <f t="shared" si="61"/>
        <v>0</v>
      </c>
      <c r="CH126" s="642">
        <f t="shared" si="61"/>
        <v>0</v>
      </c>
      <c r="CI126" s="803">
        <f t="shared" si="61"/>
        <v>0</v>
      </c>
      <c r="CJ126" s="1478"/>
      <c r="CK126" s="1478"/>
      <c r="CL126" s="1478"/>
      <c r="CM126" s="1478"/>
      <c r="CN126" s="1478"/>
      <c r="CO126" s="1478"/>
      <c r="CP126" s="1478"/>
      <c r="CQ126" s="1478"/>
      <c r="CR126" s="1478"/>
      <c r="CS126" s="1478"/>
    </row>
    <row r="127" spans="2:97" x14ac:dyDescent="0.35">
      <c r="B127" s="804" t="s">
        <v>556</v>
      </c>
      <c r="C127" s="798" t="s">
        <v>315</v>
      </c>
      <c r="D127" s="799" t="s">
        <v>557</v>
      </c>
      <c r="E127" s="800" t="s">
        <v>305</v>
      </c>
      <c r="F127" s="801">
        <v>2</v>
      </c>
      <c r="G127" s="642">
        <f t="shared" ref="G127:AL127" si="62">G29+G99</f>
        <v>-0.62</v>
      </c>
      <c r="H127" s="642">
        <f t="shared" si="62"/>
        <v>-0.62</v>
      </c>
      <c r="I127" s="642">
        <f t="shared" si="62"/>
        <v>-0.62</v>
      </c>
      <c r="J127" s="642">
        <f t="shared" si="62"/>
        <v>-0.62</v>
      </c>
      <c r="K127" s="642">
        <f t="shared" si="62"/>
        <v>-0.62</v>
      </c>
      <c r="L127" s="642">
        <f t="shared" si="62"/>
        <v>-0.62</v>
      </c>
      <c r="M127" s="802">
        <f t="shared" si="62"/>
        <v>-0.62</v>
      </c>
      <c r="N127" s="802">
        <f t="shared" si="62"/>
        <v>-0.62</v>
      </c>
      <c r="O127" s="802">
        <f t="shared" si="62"/>
        <v>-0.62</v>
      </c>
      <c r="P127" s="802">
        <f t="shared" si="62"/>
        <v>-0.62</v>
      </c>
      <c r="Q127" s="802">
        <f t="shared" si="62"/>
        <v>-0.62</v>
      </c>
      <c r="R127" s="802">
        <f t="shared" si="62"/>
        <v>-0.62</v>
      </c>
      <c r="S127" s="802">
        <f t="shared" si="62"/>
        <v>-0.62</v>
      </c>
      <c r="T127" s="802">
        <f t="shared" si="62"/>
        <v>-0.62</v>
      </c>
      <c r="U127" s="802">
        <f t="shared" si="62"/>
        <v>-0.62</v>
      </c>
      <c r="V127" s="802">
        <f t="shared" si="62"/>
        <v>-0.62</v>
      </c>
      <c r="W127" s="802">
        <f t="shared" si="62"/>
        <v>-0.62</v>
      </c>
      <c r="X127" s="802">
        <f t="shared" si="62"/>
        <v>-0.62</v>
      </c>
      <c r="Y127" s="802">
        <f t="shared" si="62"/>
        <v>-0.62</v>
      </c>
      <c r="Z127" s="802">
        <f t="shared" si="62"/>
        <v>-0.62</v>
      </c>
      <c r="AA127" s="802">
        <f t="shared" si="62"/>
        <v>-0.62</v>
      </c>
      <c r="AB127" s="802">
        <f t="shared" si="62"/>
        <v>-0.62</v>
      </c>
      <c r="AC127" s="802">
        <f t="shared" si="62"/>
        <v>-0.62</v>
      </c>
      <c r="AD127" s="802">
        <f t="shared" si="62"/>
        <v>-0.62</v>
      </c>
      <c r="AE127" s="802">
        <f t="shared" si="62"/>
        <v>-0.62</v>
      </c>
      <c r="AF127" s="802">
        <f t="shared" si="62"/>
        <v>-0.62</v>
      </c>
      <c r="AG127" s="802">
        <f t="shared" si="62"/>
        <v>-0.62</v>
      </c>
      <c r="AH127" s="802">
        <f t="shared" si="62"/>
        <v>-0.62</v>
      </c>
      <c r="AI127" s="802">
        <f t="shared" si="62"/>
        <v>-0.62</v>
      </c>
      <c r="AJ127" s="802">
        <f t="shared" si="62"/>
        <v>-0.62</v>
      </c>
      <c r="AK127" s="802">
        <f t="shared" si="62"/>
        <v>-0.62</v>
      </c>
      <c r="AL127" s="802">
        <f t="shared" si="62"/>
        <v>-0.62</v>
      </c>
      <c r="AM127" s="802">
        <f t="shared" ref="AM127:BR127" si="63">AM29+AM99</f>
        <v>-0.62</v>
      </c>
      <c r="AN127" s="802">
        <f t="shared" si="63"/>
        <v>-0.62</v>
      </c>
      <c r="AO127" s="802">
        <f t="shared" si="63"/>
        <v>-0.62</v>
      </c>
      <c r="AP127" s="802">
        <f t="shared" si="63"/>
        <v>-0.62</v>
      </c>
      <c r="AQ127" s="802">
        <f t="shared" si="63"/>
        <v>-0.62</v>
      </c>
      <c r="AR127" s="802">
        <f t="shared" si="63"/>
        <v>-0.62</v>
      </c>
      <c r="AS127" s="802">
        <f t="shared" si="63"/>
        <v>-0.62</v>
      </c>
      <c r="AT127" s="802">
        <f t="shared" si="63"/>
        <v>-0.62</v>
      </c>
      <c r="AU127" s="802">
        <f t="shared" si="63"/>
        <v>-0.62</v>
      </c>
      <c r="AV127" s="802">
        <f t="shared" si="63"/>
        <v>-0.62</v>
      </c>
      <c r="AW127" s="802">
        <f t="shared" si="63"/>
        <v>-0.62</v>
      </c>
      <c r="AX127" s="802">
        <f t="shared" si="63"/>
        <v>-0.62</v>
      </c>
      <c r="AY127" s="802">
        <f t="shared" si="63"/>
        <v>-0.62</v>
      </c>
      <c r="AZ127" s="802">
        <f t="shared" si="63"/>
        <v>-0.62</v>
      </c>
      <c r="BA127" s="802">
        <f t="shared" si="63"/>
        <v>-0.62</v>
      </c>
      <c r="BB127" s="802">
        <f t="shared" si="63"/>
        <v>-0.62</v>
      </c>
      <c r="BC127" s="802">
        <f t="shared" si="63"/>
        <v>-0.62</v>
      </c>
      <c r="BD127" s="802">
        <f t="shared" si="63"/>
        <v>-0.62</v>
      </c>
      <c r="BE127" s="802">
        <f t="shared" si="63"/>
        <v>-0.62</v>
      </c>
      <c r="BF127" s="802">
        <f t="shared" si="63"/>
        <v>-0.62</v>
      </c>
      <c r="BG127" s="802">
        <f t="shared" si="63"/>
        <v>-0.62</v>
      </c>
      <c r="BH127" s="802">
        <f t="shared" si="63"/>
        <v>-0.62</v>
      </c>
      <c r="BI127" s="802">
        <f t="shared" si="63"/>
        <v>-0.62</v>
      </c>
      <c r="BJ127" s="802">
        <f t="shared" si="63"/>
        <v>-0.62</v>
      </c>
      <c r="BK127" s="802">
        <f t="shared" si="63"/>
        <v>-0.62</v>
      </c>
      <c r="BL127" s="802">
        <f t="shared" si="63"/>
        <v>-0.62</v>
      </c>
      <c r="BM127" s="802">
        <f t="shared" si="63"/>
        <v>-0.62</v>
      </c>
      <c r="BN127" s="802">
        <f t="shared" si="63"/>
        <v>-0.62</v>
      </c>
      <c r="BO127" s="802">
        <f t="shared" si="63"/>
        <v>-0.62</v>
      </c>
      <c r="BP127" s="802">
        <f t="shared" si="63"/>
        <v>-0.62</v>
      </c>
      <c r="BQ127" s="802">
        <f t="shared" si="63"/>
        <v>-0.62</v>
      </c>
      <c r="BR127" s="802">
        <f t="shared" si="63"/>
        <v>-0.62</v>
      </c>
      <c r="BS127" s="802">
        <f t="shared" ref="BS127:CI127" si="64">BS29+BS99</f>
        <v>-0.62</v>
      </c>
      <c r="BT127" s="802">
        <f t="shared" si="64"/>
        <v>-0.62</v>
      </c>
      <c r="BU127" s="802">
        <f t="shared" si="64"/>
        <v>-0.62</v>
      </c>
      <c r="BV127" s="802">
        <f t="shared" si="64"/>
        <v>-0.62</v>
      </c>
      <c r="BW127" s="802">
        <f t="shared" si="64"/>
        <v>-0.62</v>
      </c>
      <c r="BX127" s="802">
        <f t="shared" si="64"/>
        <v>-0.62</v>
      </c>
      <c r="BY127" s="802">
        <f t="shared" si="64"/>
        <v>-0.62</v>
      </c>
      <c r="BZ127" s="802">
        <f t="shared" si="64"/>
        <v>-0.62</v>
      </c>
      <c r="CA127" s="802">
        <f t="shared" si="64"/>
        <v>-0.62</v>
      </c>
      <c r="CB127" s="802">
        <f t="shared" si="64"/>
        <v>-0.62</v>
      </c>
      <c r="CC127" s="802">
        <f t="shared" si="64"/>
        <v>-0.62</v>
      </c>
      <c r="CD127" s="802">
        <f t="shared" si="64"/>
        <v>-0.62</v>
      </c>
      <c r="CE127" s="802">
        <f t="shared" si="64"/>
        <v>-0.62</v>
      </c>
      <c r="CF127" s="802">
        <f t="shared" si="64"/>
        <v>-0.62</v>
      </c>
      <c r="CG127" s="802">
        <f t="shared" si="64"/>
        <v>-0.62</v>
      </c>
      <c r="CH127" s="802">
        <f t="shared" si="64"/>
        <v>-0.62</v>
      </c>
      <c r="CI127" s="803">
        <f t="shared" si="64"/>
        <v>-0.62</v>
      </c>
      <c r="CJ127" s="1478"/>
      <c r="CK127" s="1478"/>
      <c r="CL127" s="1478"/>
      <c r="CM127" s="1478"/>
      <c r="CN127" s="1478"/>
      <c r="CO127" s="1478"/>
      <c r="CP127" s="1478"/>
      <c r="CQ127" s="1478"/>
      <c r="CR127" s="1478"/>
      <c r="CS127" s="1478"/>
    </row>
    <row r="128" spans="2:97" x14ac:dyDescent="0.35">
      <c r="B128" s="804" t="s">
        <v>558</v>
      </c>
      <c r="C128" s="805" t="s">
        <v>319</v>
      </c>
      <c r="D128" s="799" t="s">
        <v>559</v>
      </c>
      <c r="E128" s="800" t="s">
        <v>305</v>
      </c>
      <c r="F128" s="801">
        <v>2</v>
      </c>
      <c r="G128" s="642">
        <f>G31+G100+G101+G102+G103</f>
        <v>104.62</v>
      </c>
      <c r="H128" s="642">
        <f t="shared" ref="H128:BS128" si="65">H31+H100+H101+H102+H103</f>
        <v>104.62</v>
      </c>
      <c r="I128" s="642">
        <f t="shared" si="65"/>
        <v>104.62</v>
      </c>
      <c r="J128" s="642">
        <f t="shared" si="65"/>
        <v>104.62</v>
      </c>
      <c r="K128" s="642">
        <f t="shared" si="65"/>
        <v>104.62</v>
      </c>
      <c r="L128" s="642">
        <f t="shared" si="65"/>
        <v>102.62</v>
      </c>
      <c r="M128" s="642">
        <f>M31+M100+M101+M102+M103</f>
        <v>101.38784733812952</v>
      </c>
      <c r="N128" s="642">
        <f t="shared" si="65"/>
        <v>101.23994733812953</v>
      </c>
      <c r="O128" s="642">
        <f t="shared" si="65"/>
        <v>100.73204733812952</v>
      </c>
      <c r="P128" s="642">
        <f t="shared" si="65"/>
        <v>100.58414733812953</v>
      </c>
      <c r="Q128" s="642">
        <f t="shared" si="65"/>
        <v>100.43624733812952</v>
      </c>
      <c r="R128" s="642">
        <f t="shared" si="65"/>
        <v>94.778347338129521</v>
      </c>
      <c r="S128" s="642">
        <f t="shared" si="65"/>
        <v>82.130447338129514</v>
      </c>
      <c r="T128" s="642">
        <f t="shared" si="65"/>
        <v>81.982547338129521</v>
      </c>
      <c r="U128" s="642">
        <f>U31+U100+U101+U102+U103</f>
        <v>81.834647338129514</v>
      </c>
      <c r="V128" s="642">
        <f t="shared" si="65"/>
        <v>81.686747338129521</v>
      </c>
      <c r="W128" s="642">
        <f t="shared" si="65"/>
        <v>81.538847338129514</v>
      </c>
      <c r="X128" s="642">
        <f t="shared" si="65"/>
        <v>81.390947338129521</v>
      </c>
      <c r="Y128" s="642">
        <f t="shared" si="65"/>
        <v>81.243047338129514</v>
      </c>
      <c r="Z128" s="642">
        <f t="shared" si="65"/>
        <v>81.095147338129522</v>
      </c>
      <c r="AA128" s="642">
        <f t="shared" si="65"/>
        <v>80.947247338129515</v>
      </c>
      <c r="AB128" s="642">
        <f t="shared" si="65"/>
        <v>55.910000000000011</v>
      </c>
      <c r="AC128" s="642">
        <f t="shared" si="65"/>
        <v>55.910000000000011</v>
      </c>
      <c r="AD128" s="642">
        <f t="shared" si="65"/>
        <v>55.910000000000011</v>
      </c>
      <c r="AE128" s="642">
        <f t="shared" si="65"/>
        <v>55.910000000000011</v>
      </c>
      <c r="AF128" s="642">
        <f t="shared" si="65"/>
        <v>55.910000000000011</v>
      </c>
      <c r="AG128" s="642">
        <f t="shared" si="65"/>
        <v>55.910000000000011</v>
      </c>
      <c r="AH128" s="642">
        <f t="shared" si="65"/>
        <v>55.910000000000011</v>
      </c>
      <c r="AI128" s="642">
        <f t="shared" si="65"/>
        <v>55.910000000000011</v>
      </c>
      <c r="AJ128" s="642">
        <f t="shared" si="65"/>
        <v>55.910000000000011</v>
      </c>
      <c r="AK128" s="642">
        <f t="shared" si="65"/>
        <v>55.910000000000011</v>
      </c>
      <c r="AL128" s="642">
        <f t="shared" si="65"/>
        <v>55.910000000000011</v>
      </c>
      <c r="AM128" s="642">
        <f t="shared" si="65"/>
        <v>55.910000000000011</v>
      </c>
      <c r="AN128" s="642">
        <f t="shared" si="65"/>
        <v>55.910000000000011</v>
      </c>
      <c r="AO128" s="642">
        <f t="shared" si="65"/>
        <v>55.910000000000011</v>
      </c>
      <c r="AP128" s="642">
        <f t="shared" si="65"/>
        <v>55.910000000000011</v>
      </c>
      <c r="AQ128" s="642">
        <f t="shared" si="65"/>
        <v>55.910000000000011</v>
      </c>
      <c r="AR128" s="642">
        <f t="shared" si="65"/>
        <v>55.910000000000011</v>
      </c>
      <c r="AS128" s="642">
        <f t="shared" si="65"/>
        <v>55.910000000000011</v>
      </c>
      <c r="AT128" s="642">
        <f t="shared" si="65"/>
        <v>55.910000000000011</v>
      </c>
      <c r="AU128" s="642">
        <f t="shared" si="65"/>
        <v>55.910000000000011</v>
      </c>
      <c r="AV128" s="642">
        <f t="shared" si="65"/>
        <v>55.910000000000011</v>
      </c>
      <c r="AW128" s="642">
        <f t="shared" si="65"/>
        <v>55.910000000000011</v>
      </c>
      <c r="AX128" s="642">
        <f t="shared" si="65"/>
        <v>55.910000000000011</v>
      </c>
      <c r="AY128" s="642">
        <f t="shared" si="65"/>
        <v>55.910000000000011</v>
      </c>
      <c r="AZ128" s="642">
        <f t="shared" si="65"/>
        <v>55.910000000000011</v>
      </c>
      <c r="BA128" s="642">
        <f t="shared" si="65"/>
        <v>55.910000000000011</v>
      </c>
      <c r="BB128" s="642">
        <f t="shared" si="65"/>
        <v>55.910000000000011</v>
      </c>
      <c r="BC128" s="642">
        <f t="shared" si="65"/>
        <v>55.910000000000011</v>
      </c>
      <c r="BD128" s="642">
        <f t="shared" si="65"/>
        <v>55.910000000000011</v>
      </c>
      <c r="BE128" s="642">
        <f t="shared" si="65"/>
        <v>57.910000000000011</v>
      </c>
      <c r="BF128" s="642">
        <f t="shared" si="65"/>
        <v>57.910000000000011</v>
      </c>
      <c r="BG128" s="642">
        <f t="shared" si="65"/>
        <v>57.910000000000011</v>
      </c>
      <c r="BH128" s="642">
        <f t="shared" si="65"/>
        <v>57.910000000000011</v>
      </c>
      <c r="BI128" s="642">
        <f t="shared" si="65"/>
        <v>57.910000000000011</v>
      </c>
      <c r="BJ128" s="642">
        <f t="shared" si="65"/>
        <v>57.910000000000011</v>
      </c>
      <c r="BK128" s="642">
        <f t="shared" si="65"/>
        <v>57.910000000000011</v>
      </c>
      <c r="BL128" s="642">
        <f t="shared" si="65"/>
        <v>57.910000000000011</v>
      </c>
      <c r="BM128" s="642">
        <f t="shared" si="65"/>
        <v>57.910000000000011</v>
      </c>
      <c r="BN128" s="642">
        <f t="shared" si="65"/>
        <v>57.910000000000011</v>
      </c>
      <c r="BO128" s="642">
        <f t="shared" si="65"/>
        <v>57.910000000000011</v>
      </c>
      <c r="BP128" s="642">
        <f t="shared" si="65"/>
        <v>57.910000000000011</v>
      </c>
      <c r="BQ128" s="642">
        <f t="shared" si="65"/>
        <v>57.910000000000011</v>
      </c>
      <c r="BR128" s="642">
        <f t="shared" si="65"/>
        <v>57.910000000000011</v>
      </c>
      <c r="BS128" s="642">
        <f t="shared" si="65"/>
        <v>57.910000000000011</v>
      </c>
      <c r="BT128" s="642">
        <f t="shared" ref="BT128:CI128" si="66">BT31+BT100+BT101+BT102+BT103</f>
        <v>57.910000000000011</v>
      </c>
      <c r="BU128" s="642">
        <f t="shared" si="66"/>
        <v>57.910000000000011</v>
      </c>
      <c r="BV128" s="642">
        <f t="shared" si="66"/>
        <v>57.910000000000011</v>
      </c>
      <c r="BW128" s="642">
        <f t="shared" si="66"/>
        <v>57.910000000000011</v>
      </c>
      <c r="BX128" s="642">
        <f t="shared" si="66"/>
        <v>57.910000000000011</v>
      </c>
      <c r="BY128" s="642">
        <f t="shared" si="66"/>
        <v>57.910000000000011</v>
      </c>
      <c r="BZ128" s="642">
        <f t="shared" si="66"/>
        <v>57.910000000000011</v>
      </c>
      <c r="CA128" s="642">
        <f t="shared" si="66"/>
        <v>57.910000000000011</v>
      </c>
      <c r="CB128" s="642">
        <f t="shared" si="66"/>
        <v>57.910000000000011</v>
      </c>
      <c r="CC128" s="642">
        <f t="shared" si="66"/>
        <v>57.910000000000011</v>
      </c>
      <c r="CD128" s="642">
        <f t="shared" si="66"/>
        <v>57.910000000000011</v>
      </c>
      <c r="CE128" s="642">
        <f t="shared" si="66"/>
        <v>57.910000000000011</v>
      </c>
      <c r="CF128" s="642">
        <f t="shared" si="66"/>
        <v>57.910000000000011</v>
      </c>
      <c r="CG128" s="642">
        <f t="shared" si="66"/>
        <v>57.910000000000011</v>
      </c>
      <c r="CH128" s="642">
        <f t="shared" si="66"/>
        <v>57.910000000000011</v>
      </c>
      <c r="CI128" s="803">
        <f t="shared" si="66"/>
        <v>57.910000000000011</v>
      </c>
      <c r="CJ128" s="1478"/>
      <c r="CK128" s="1478"/>
      <c r="CL128" s="1478"/>
      <c r="CM128" s="1478"/>
      <c r="CN128" s="1478"/>
      <c r="CO128" s="1478"/>
      <c r="CP128" s="1478"/>
      <c r="CQ128" s="1478"/>
      <c r="CR128" s="1478"/>
      <c r="CS128" s="1478"/>
    </row>
    <row r="129" spans="2:97" ht="28" x14ac:dyDescent="0.35">
      <c r="B129" s="804" t="s">
        <v>560</v>
      </c>
      <c r="C129" s="805" t="s">
        <v>561</v>
      </c>
      <c r="D129" s="799" t="s">
        <v>562</v>
      </c>
      <c r="E129" s="800" t="s">
        <v>305</v>
      </c>
      <c r="F129" s="801">
        <v>2</v>
      </c>
      <c r="G129" s="642">
        <f t="shared" ref="G129:AL129" si="67">G39+G104+G105</f>
        <v>0.16</v>
      </c>
      <c r="H129" s="642">
        <f t="shared" si="67"/>
        <v>0.16</v>
      </c>
      <c r="I129" s="642">
        <f t="shared" si="67"/>
        <v>0.16</v>
      </c>
      <c r="J129" s="642">
        <f t="shared" si="67"/>
        <v>0.16</v>
      </c>
      <c r="K129" s="642">
        <f t="shared" si="67"/>
        <v>0.16</v>
      </c>
      <c r="L129" s="642">
        <f t="shared" si="67"/>
        <v>0.16</v>
      </c>
      <c r="M129" s="802">
        <f t="shared" si="67"/>
        <v>0.16</v>
      </c>
      <c r="N129" s="802">
        <f t="shared" si="67"/>
        <v>0.16</v>
      </c>
      <c r="O129" s="802">
        <f t="shared" si="67"/>
        <v>0.16</v>
      </c>
      <c r="P129" s="802">
        <f t="shared" si="67"/>
        <v>0.16</v>
      </c>
      <c r="Q129" s="802">
        <f t="shared" si="67"/>
        <v>0.16</v>
      </c>
      <c r="R129" s="802">
        <f t="shared" si="67"/>
        <v>0.16</v>
      </c>
      <c r="S129" s="802">
        <f t="shared" si="67"/>
        <v>0.16</v>
      </c>
      <c r="T129" s="802">
        <f t="shared" si="67"/>
        <v>0.16</v>
      </c>
      <c r="U129" s="802">
        <f t="shared" si="67"/>
        <v>0.16</v>
      </c>
      <c r="V129" s="802">
        <f t="shared" si="67"/>
        <v>0.16</v>
      </c>
      <c r="W129" s="802">
        <f t="shared" si="67"/>
        <v>0.16</v>
      </c>
      <c r="X129" s="802">
        <f t="shared" si="67"/>
        <v>0.16</v>
      </c>
      <c r="Y129" s="802">
        <f t="shared" si="67"/>
        <v>0.16</v>
      </c>
      <c r="Z129" s="802">
        <f t="shared" si="67"/>
        <v>0.16</v>
      </c>
      <c r="AA129" s="802">
        <f t="shared" si="67"/>
        <v>0.16</v>
      </c>
      <c r="AB129" s="802">
        <f t="shared" si="67"/>
        <v>0.16</v>
      </c>
      <c r="AC129" s="802">
        <f t="shared" si="67"/>
        <v>0.16</v>
      </c>
      <c r="AD129" s="802">
        <f t="shared" si="67"/>
        <v>0.16</v>
      </c>
      <c r="AE129" s="802">
        <f t="shared" si="67"/>
        <v>0.16</v>
      </c>
      <c r="AF129" s="802">
        <f t="shared" si="67"/>
        <v>0.16</v>
      </c>
      <c r="AG129" s="802">
        <f t="shared" si="67"/>
        <v>0.16</v>
      </c>
      <c r="AH129" s="802">
        <f t="shared" si="67"/>
        <v>0.16</v>
      </c>
      <c r="AI129" s="802">
        <f t="shared" si="67"/>
        <v>0.16</v>
      </c>
      <c r="AJ129" s="802">
        <f t="shared" si="67"/>
        <v>0.16</v>
      </c>
      <c r="AK129" s="802">
        <f t="shared" si="67"/>
        <v>0.16</v>
      </c>
      <c r="AL129" s="802">
        <f t="shared" si="67"/>
        <v>0.16</v>
      </c>
      <c r="AM129" s="802">
        <f t="shared" ref="AM129:BR129" si="68">AM39+AM104+AM105</f>
        <v>0.16</v>
      </c>
      <c r="AN129" s="802">
        <f t="shared" si="68"/>
        <v>0.16</v>
      </c>
      <c r="AO129" s="802">
        <f t="shared" si="68"/>
        <v>0.16</v>
      </c>
      <c r="AP129" s="802">
        <f t="shared" si="68"/>
        <v>0.16</v>
      </c>
      <c r="AQ129" s="802">
        <f t="shared" si="68"/>
        <v>0.16</v>
      </c>
      <c r="AR129" s="802">
        <f t="shared" si="68"/>
        <v>0.16</v>
      </c>
      <c r="AS129" s="802">
        <f t="shared" si="68"/>
        <v>0.16</v>
      </c>
      <c r="AT129" s="802">
        <f t="shared" si="68"/>
        <v>0.16</v>
      </c>
      <c r="AU129" s="802">
        <f t="shared" si="68"/>
        <v>0.16</v>
      </c>
      <c r="AV129" s="802">
        <f t="shared" si="68"/>
        <v>0.16</v>
      </c>
      <c r="AW129" s="802">
        <f t="shared" si="68"/>
        <v>0.16</v>
      </c>
      <c r="AX129" s="802">
        <f t="shared" si="68"/>
        <v>0.16</v>
      </c>
      <c r="AY129" s="802">
        <f t="shared" si="68"/>
        <v>0.16</v>
      </c>
      <c r="AZ129" s="802">
        <f t="shared" si="68"/>
        <v>0.16</v>
      </c>
      <c r="BA129" s="802">
        <f t="shared" si="68"/>
        <v>0.16</v>
      </c>
      <c r="BB129" s="802">
        <f t="shared" si="68"/>
        <v>0.16</v>
      </c>
      <c r="BC129" s="802">
        <f t="shared" si="68"/>
        <v>0.16</v>
      </c>
      <c r="BD129" s="802">
        <f t="shared" si="68"/>
        <v>0.16</v>
      </c>
      <c r="BE129" s="802">
        <f t="shared" si="68"/>
        <v>0.16</v>
      </c>
      <c r="BF129" s="802">
        <f t="shared" si="68"/>
        <v>0.16</v>
      </c>
      <c r="BG129" s="802">
        <f t="shared" si="68"/>
        <v>0.16</v>
      </c>
      <c r="BH129" s="802">
        <f t="shared" si="68"/>
        <v>0.16</v>
      </c>
      <c r="BI129" s="802">
        <f t="shared" si="68"/>
        <v>0.16</v>
      </c>
      <c r="BJ129" s="802">
        <f t="shared" si="68"/>
        <v>0.16</v>
      </c>
      <c r="BK129" s="802">
        <f t="shared" si="68"/>
        <v>0.16</v>
      </c>
      <c r="BL129" s="802">
        <f t="shared" si="68"/>
        <v>0.16</v>
      </c>
      <c r="BM129" s="802">
        <f t="shared" si="68"/>
        <v>0.16</v>
      </c>
      <c r="BN129" s="802">
        <f t="shared" si="68"/>
        <v>0.16</v>
      </c>
      <c r="BO129" s="802">
        <f t="shared" si="68"/>
        <v>0.16</v>
      </c>
      <c r="BP129" s="802">
        <f t="shared" si="68"/>
        <v>0.16</v>
      </c>
      <c r="BQ129" s="802">
        <f t="shared" si="68"/>
        <v>0.16</v>
      </c>
      <c r="BR129" s="802">
        <f t="shared" si="68"/>
        <v>0.16</v>
      </c>
      <c r="BS129" s="802">
        <f t="shared" ref="BS129:CI129" si="69">BS39+BS104+BS105</f>
        <v>0.16</v>
      </c>
      <c r="BT129" s="802">
        <f t="shared" si="69"/>
        <v>0.16</v>
      </c>
      <c r="BU129" s="802">
        <f t="shared" si="69"/>
        <v>0.16</v>
      </c>
      <c r="BV129" s="802">
        <f t="shared" si="69"/>
        <v>0.16</v>
      </c>
      <c r="BW129" s="802">
        <f t="shared" si="69"/>
        <v>0.16</v>
      </c>
      <c r="BX129" s="802">
        <f t="shared" si="69"/>
        <v>0.16</v>
      </c>
      <c r="BY129" s="802">
        <f t="shared" si="69"/>
        <v>0.16</v>
      </c>
      <c r="BZ129" s="802">
        <f t="shared" si="69"/>
        <v>0.16</v>
      </c>
      <c r="CA129" s="802">
        <f t="shared" si="69"/>
        <v>0.16</v>
      </c>
      <c r="CB129" s="802">
        <f t="shared" si="69"/>
        <v>0.16</v>
      </c>
      <c r="CC129" s="802">
        <f t="shared" si="69"/>
        <v>0.16</v>
      </c>
      <c r="CD129" s="802">
        <f t="shared" si="69"/>
        <v>0.16</v>
      </c>
      <c r="CE129" s="802">
        <f t="shared" si="69"/>
        <v>0.16</v>
      </c>
      <c r="CF129" s="802">
        <f t="shared" si="69"/>
        <v>0.16</v>
      </c>
      <c r="CG129" s="802">
        <f t="shared" si="69"/>
        <v>0.16</v>
      </c>
      <c r="CH129" s="802">
        <f t="shared" si="69"/>
        <v>0.16</v>
      </c>
      <c r="CI129" s="803">
        <f t="shared" si="69"/>
        <v>0.16</v>
      </c>
      <c r="CJ129" s="1478"/>
      <c r="CK129" s="1478"/>
      <c r="CL129" s="1478"/>
      <c r="CM129" s="1478"/>
      <c r="CN129" s="1478"/>
      <c r="CO129" s="1478"/>
      <c r="CP129" s="1478"/>
      <c r="CQ129" s="1478"/>
      <c r="CR129" s="1478"/>
      <c r="CS129" s="1478"/>
    </row>
    <row r="130" spans="2:97" x14ac:dyDescent="0.35">
      <c r="B130" s="804" t="s">
        <v>563</v>
      </c>
      <c r="C130" s="805" t="s">
        <v>340</v>
      </c>
      <c r="D130" s="799" t="s">
        <v>564</v>
      </c>
      <c r="E130" s="800" t="s">
        <v>305</v>
      </c>
      <c r="F130" s="801">
        <v>2</v>
      </c>
      <c r="G130" s="642">
        <f>G40+G106</f>
        <v>4.8</v>
      </c>
      <c r="H130" s="642">
        <f t="shared" ref="H130:AL130" si="70">H40+H106</f>
        <v>4.8</v>
      </c>
      <c r="I130" s="642">
        <f t="shared" si="70"/>
        <v>4.8</v>
      </c>
      <c r="J130" s="642">
        <f t="shared" si="70"/>
        <v>4.8</v>
      </c>
      <c r="K130" s="642">
        <f t="shared" si="70"/>
        <v>4.8</v>
      </c>
      <c r="L130" s="642">
        <f t="shared" si="70"/>
        <v>4.8</v>
      </c>
      <c r="M130" s="802">
        <f t="shared" si="70"/>
        <v>4.9000000000000004</v>
      </c>
      <c r="N130" s="802">
        <f t="shared" si="70"/>
        <v>4.9000000000000004</v>
      </c>
      <c r="O130" s="802">
        <f t="shared" si="70"/>
        <v>4.9000000000000004</v>
      </c>
      <c r="P130" s="802">
        <f t="shared" si="70"/>
        <v>4.9000000000000004</v>
      </c>
      <c r="Q130" s="802">
        <f t="shared" si="70"/>
        <v>4.9000000000000004</v>
      </c>
      <c r="R130" s="802">
        <f t="shared" si="70"/>
        <v>4.9000000000000004</v>
      </c>
      <c r="S130" s="802">
        <f t="shared" si="70"/>
        <v>4.9000000000000004</v>
      </c>
      <c r="T130" s="802">
        <f t="shared" si="70"/>
        <v>4.9000000000000004</v>
      </c>
      <c r="U130" s="802">
        <f t="shared" si="70"/>
        <v>4.9000000000000004</v>
      </c>
      <c r="V130" s="802">
        <f t="shared" si="70"/>
        <v>4.9000000000000004</v>
      </c>
      <c r="W130" s="802">
        <f t="shared" si="70"/>
        <v>4.9000000000000004</v>
      </c>
      <c r="X130" s="802">
        <f t="shared" si="70"/>
        <v>4.9000000000000004</v>
      </c>
      <c r="Y130" s="802">
        <f t="shared" si="70"/>
        <v>4.9000000000000004</v>
      </c>
      <c r="Z130" s="802">
        <f t="shared" si="70"/>
        <v>4.9000000000000004</v>
      </c>
      <c r="AA130" s="802">
        <f t="shared" si="70"/>
        <v>4.9000000000000004</v>
      </c>
      <c r="AB130" s="802">
        <f t="shared" si="70"/>
        <v>4.9000000000000004</v>
      </c>
      <c r="AC130" s="802">
        <f t="shared" si="70"/>
        <v>4.9000000000000004</v>
      </c>
      <c r="AD130" s="802">
        <f t="shared" si="70"/>
        <v>4.9000000000000004</v>
      </c>
      <c r="AE130" s="802">
        <f t="shared" si="70"/>
        <v>4.9000000000000004</v>
      </c>
      <c r="AF130" s="802">
        <f t="shared" si="70"/>
        <v>4.9000000000000004</v>
      </c>
      <c r="AG130" s="802">
        <f t="shared" si="70"/>
        <v>4.9000000000000004</v>
      </c>
      <c r="AH130" s="802">
        <f t="shared" si="70"/>
        <v>4.9000000000000004</v>
      </c>
      <c r="AI130" s="802">
        <f t="shared" si="70"/>
        <v>4.9000000000000004</v>
      </c>
      <c r="AJ130" s="802">
        <f t="shared" si="70"/>
        <v>4.9000000000000004</v>
      </c>
      <c r="AK130" s="802">
        <f t="shared" si="70"/>
        <v>4.9000000000000004</v>
      </c>
      <c r="AL130" s="802">
        <f t="shared" si="70"/>
        <v>4.9000000000000004</v>
      </c>
      <c r="AM130" s="802">
        <f t="shared" ref="AM130:BR130" si="71">AM40+AM106</f>
        <v>4.9000000000000004</v>
      </c>
      <c r="AN130" s="802">
        <f t="shared" si="71"/>
        <v>4.9000000000000004</v>
      </c>
      <c r="AO130" s="802">
        <f t="shared" si="71"/>
        <v>4.9000000000000004</v>
      </c>
      <c r="AP130" s="802">
        <f t="shared" si="71"/>
        <v>4.9000000000000004</v>
      </c>
      <c r="AQ130" s="802">
        <f t="shared" si="71"/>
        <v>4.9000000000000004</v>
      </c>
      <c r="AR130" s="802">
        <f t="shared" si="71"/>
        <v>4.9000000000000004</v>
      </c>
      <c r="AS130" s="802">
        <f t="shared" si="71"/>
        <v>4.9000000000000004</v>
      </c>
      <c r="AT130" s="802">
        <f t="shared" si="71"/>
        <v>4.9000000000000004</v>
      </c>
      <c r="AU130" s="802">
        <f t="shared" si="71"/>
        <v>4.9000000000000004</v>
      </c>
      <c r="AV130" s="802">
        <f t="shared" si="71"/>
        <v>4.9000000000000004</v>
      </c>
      <c r="AW130" s="802">
        <f t="shared" si="71"/>
        <v>4.9000000000000004</v>
      </c>
      <c r="AX130" s="802">
        <f t="shared" si="71"/>
        <v>4.9000000000000004</v>
      </c>
      <c r="AY130" s="802">
        <f t="shared" si="71"/>
        <v>4.9000000000000004</v>
      </c>
      <c r="AZ130" s="802">
        <f t="shared" si="71"/>
        <v>4.9000000000000004</v>
      </c>
      <c r="BA130" s="802">
        <f t="shared" si="71"/>
        <v>4.9000000000000004</v>
      </c>
      <c r="BB130" s="802">
        <f t="shared" si="71"/>
        <v>4.9000000000000004</v>
      </c>
      <c r="BC130" s="802">
        <f t="shared" si="71"/>
        <v>4.9000000000000004</v>
      </c>
      <c r="BD130" s="802">
        <f t="shared" si="71"/>
        <v>4.9000000000000004</v>
      </c>
      <c r="BE130" s="802">
        <f t="shared" si="71"/>
        <v>4.9000000000000004</v>
      </c>
      <c r="BF130" s="802">
        <f t="shared" si="71"/>
        <v>4.9000000000000004</v>
      </c>
      <c r="BG130" s="802">
        <f t="shared" si="71"/>
        <v>4.9000000000000004</v>
      </c>
      <c r="BH130" s="802">
        <f t="shared" si="71"/>
        <v>4.9000000000000004</v>
      </c>
      <c r="BI130" s="802">
        <f t="shared" si="71"/>
        <v>4.9000000000000004</v>
      </c>
      <c r="BJ130" s="802">
        <f t="shared" si="71"/>
        <v>4.9000000000000004</v>
      </c>
      <c r="BK130" s="802">
        <f t="shared" si="71"/>
        <v>4.9000000000000004</v>
      </c>
      <c r="BL130" s="802">
        <f t="shared" si="71"/>
        <v>4.9000000000000004</v>
      </c>
      <c r="BM130" s="802">
        <f t="shared" si="71"/>
        <v>4.9000000000000004</v>
      </c>
      <c r="BN130" s="802">
        <f t="shared" si="71"/>
        <v>4.9000000000000004</v>
      </c>
      <c r="BO130" s="802">
        <f t="shared" si="71"/>
        <v>4.9000000000000004</v>
      </c>
      <c r="BP130" s="802">
        <f t="shared" si="71"/>
        <v>4.9000000000000004</v>
      </c>
      <c r="BQ130" s="802">
        <f t="shared" si="71"/>
        <v>4.9000000000000004</v>
      </c>
      <c r="BR130" s="802">
        <f t="shared" si="71"/>
        <v>4.9000000000000004</v>
      </c>
      <c r="BS130" s="802">
        <f t="shared" ref="BS130:CI130" si="72">BS40+BS106</f>
        <v>4.9000000000000004</v>
      </c>
      <c r="BT130" s="802">
        <f t="shared" si="72"/>
        <v>4.9000000000000004</v>
      </c>
      <c r="BU130" s="802">
        <f t="shared" si="72"/>
        <v>4.9000000000000004</v>
      </c>
      <c r="BV130" s="802">
        <f t="shared" si="72"/>
        <v>4.9000000000000004</v>
      </c>
      <c r="BW130" s="802">
        <f t="shared" si="72"/>
        <v>4.9000000000000004</v>
      </c>
      <c r="BX130" s="802">
        <f t="shared" si="72"/>
        <v>4.9000000000000004</v>
      </c>
      <c r="BY130" s="802">
        <f t="shared" si="72"/>
        <v>4.9000000000000004</v>
      </c>
      <c r="BZ130" s="802">
        <f t="shared" si="72"/>
        <v>4.9000000000000004</v>
      </c>
      <c r="CA130" s="802">
        <f t="shared" si="72"/>
        <v>4.9000000000000004</v>
      </c>
      <c r="CB130" s="802">
        <f t="shared" si="72"/>
        <v>4.9000000000000004</v>
      </c>
      <c r="CC130" s="802">
        <f t="shared" si="72"/>
        <v>4.9000000000000004</v>
      </c>
      <c r="CD130" s="802">
        <f t="shared" si="72"/>
        <v>4.9000000000000004</v>
      </c>
      <c r="CE130" s="802">
        <f t="shared" si="72"/>
        <v>4.9000000000000004</v>
      </c>
      <c r="CF130" s="802">
        <f t="shared" si="72"/>
        <v>4.9000000000000004</v>
      </c>
      <c r="CG130" s="802">
        <f t="shared" si="72"/>
        <v>4.9000000000000004</v>
      </c>
      <c r="CH130" s="802">
        <f t="shared" si="72"/>
        <v>4.9000000000000004</v>
      </c>
      <c r="CI130" s="803">
        <f t="shared" si="72"/>
        <v>4.9000000000000004</v>
      </c>
      <c r="CJ130" s="1478"/>
      <c r="CK130" s="1478"/>
      <c r="CL130" s="1478"/>
      <c r="CM130" s="1478"/>
      <c r="CN130" s="1478"/>
      <c r="CO130" s="1478"/>
      <c r="CP130" s="1478"/>
      <c r="CQ130" s="1478"/>
      <c r="CR130" s="1478"/>
      <c r="CS130" s="1478"/>
    </row>
    <row r="131" spans="2:97" x14ac:dyDescent="0.35">
      <c r="B131" s="806" t="s">
        <v>565</v>
      </c>
      <c r="C131" s="807" t="s">
        <v>342</v>
      </c>
      <c r="D131" s="807" t="s">
        <v>566</v>
      </c>
      <c r="E131" s="808" t="s">
        <v>305</v>
      </c>
      <c r="F131" s="801">
        <v>2</v>
      </c>
      <c r="G131" s="642">
        <f>(G128)-(G129+G130)</f>
        <v>99.660000000000011</v>
      </c>
      <c r="H131" s="642">
        <f t="shared" ref="H131:BS131" si="73">(H128)-(H129+H130)</f>
        <v>99.660000000000011</v>
      </c>
      <c r="I131" s="642">
        <f t="shared" si="73"/>
        <v>99.660000000000011</v>
      </c>
      <c r="J131" s="642">
        <f t="shared" si="73"/>
        <v>99.660000000000011</v>
      </c>
      <c r="K131" s="642">
        <f t="shared" si="73"/>
        <v>99.660000000000011</v>
      </c>
      <c r="L131" s="642">
        <f t="shared" si="73"/>
        <v>97.660000000000011</v>
      </c>
      <c r="M131" s="642">
        <f>(M128)-(M129+M130)</f>
        <v>96.327847338129516</v>
      </c>
      <c r="N131" s="642">
        <f t="shared" si="73"/>
        <v>96.179947338129523</v>
      </c>
      <c r="O131" s="642">
        <f t="shared" si="73"/>
        <v>95.672047338129516</v>
      </c>
      <c r="P131" s="642">
        <f t="shared" si="73"/>
        <v>95.524147338129524</v>
      </c>
      <c r="Q131" s="642">
        <f t="shared" si="73"/>
        <v>95.376247338129517</v>
      </c>
      <c r="R131" s="642">
        <f t="shared" si="73"/>
        <v>89.718347338129519</v>
      </c>
      <c r="S131" s="642">
        <f t="shared" si="73"/>
        <v>77.070447338129512</v>
      </c>
      <c r="T131" s="642">
        <f t="shared" si="73"/>
        <v>76.922547338129519</v>
      </c>
      <c r="U131" s="642">
        <f t="shared" si="73"/>
        <v>76.774647338129512</v>
      </c>
      <c r="V131" s="642">
        <f t="shared" si="73"/>
        <v>76.626747338129519</v>
      </c>
      <c r="W131" s="642">
        <f t="shared" si="73"/>
        <v>76.478847338129512</v>
      </c>
      <c r="X131" s="642">
        <f t="shared" si="73"/>
        <v>76.330947338129519</v>
      </c>
      <c r="Y131" s="642">
        <f t="shared" si="73"/>
        <v>76.183047338129512</v>
      </c>
      <c r="Z131" s="642">
        <f t="shared" si="73"/>
        <v>76.035147338129519</v>
      </c>
      <c r="AA131" s="642">
        <f t="shared" si="73"/>
        <v>75.887247338129512</v>
      </c>
      <c r="AB131" s="642">
        <f t="shared" si="73"/>
        <v>50.850000000000009</v>
      </c>
      <c r="AC131" s="642">
        <f t="shared" si="73"/>
        <v>50.850000000000009</v>
      </c>
      <c r="AD131" s="642">
        <f t="shared" si="73"/>
        <v>50.850000000000009</v>
      </c>
      <c r="AE131" s="642">
        <f t="shared" si="73"/>
        <v>50.850000000000009</v>
      </c>
      <c r="AF131" s="642">
        <f t="shared" si="73"/>
        <v>50.850000000000009</v>
      </c>
      <c r="AG131" s="642">
        <f t="shared" si="73"/>
        <v>50.850000000000009</v>
      </c>
      <c r="AH131" s="642">
        <f t="shared" si="73"/>
        <v>50.850000000000009</v>
      </c>
      <c r="AI131" s="642">
        <f t="shared" si="73"/>
        <v>50.850000000000009</v>
      </c>
      <c r="AJ131" s="642">
        <f t="shared" si="73"/>
        <v>50.850000000000009</v>
      </c>
      <c r="AK131" s="642">
        <f t="shared" si="73"/>
        <v>50.850000000000009</v>
      </c>
      <c r="AL131" s="642">
        <f t="shared" si="73"/>
        <v>50.850000000000009</v>
      </c>
      <c r="AM131" s="642">
        <f t="shared" si="73"/>
        <v>50.850000000000009</v>
      </c>
      <c r="AN131" s="642">
        <f t="shared" si="73"/>
        <v>50.850000000000009</v>
      </c>
      <c r="AO131" s="642">
        <f t="shared" si="73"/>
        <v>50.850000000000009</v>
      </c>
      <c r="AP131" s="642">
        <f t="shared" si="73"/>
        <v>50.850000000000009</v>
      </c>
      <c r="AQ131" s="642">
        <f t="shared" si="73"/>
        <v>50.850000000000009</v>
      </c>
      <c r="AR131" s="642">
        <f t="shared" si="73"/>
        <v>50.850000000000009</v>
      </c>
      <c r="AS131" s="642">
        <f t="shared" si="73"/>
        <v>50.850000000000009</v>
      </c>
      <c r="AT131" s="642">
        <f t="shared" si="73"/>
        <v>50.850000000000009</v>
      </c>
      <c r="AU131" s="642">
        <f t="shared" si="73"/>
        <v>50.850000000000009</v>
      </c>
      <c r="AV131" s="642">
        <f t="shared" si="73"/>
        <v>50.850000000000009</v>
      </c>
      <c r="AW131" s="642">
        <f t="shared" si="73"/>
        <v>50.850000000000009</v>
      </c>
      <c r="AX131" s="642">
        <f t="shared" si="73"/>
        <v>50.850000000000009</v>
      </c>
      <c r="AY131" s="642">
        <f t="shared" si="73"/>
        <v>50.850000000000009</v>
      </c>
      <c r="AZ131" s="642">
        <f t="shared" si="73"/>
        <v>50.850000000000009</v>
      </c>
      <c r="BA131" s="642">
        <f t="shared" si="73"/>
        <v>50.850000000000009</v>
      </c>
      <c r="BB131" s="642">
        <f t="shared" si="73"/>
        <v>50.850000000000009</v>
      </c>
      <c r="BC131" s="642">
        <f t="shared" si="73"/>
        <v>50.850000000000009</v>
      </c>
      <c r="BD131" s="642">
        <f t="shared" si="73"/>
        <v>50.850000000000009</v>
      </c>
      <c r="BE131" s="642">
        <f t="shared" si="73"/>
        <v>52.850000000000009</v>
      </c>
      <c r="BF131" s="642">
        <f t="shared" si="73"/>
        <v>52.850000000000009</v>
      </c>
      <c r="BG131" s="642">
        <f t="shared" si="73"/>
        <v>52.850000000000009</v>
      </c>
      <c r="BH131" s="642">
        <f t="shared" si="73"/>
        <v>52.850000000000009</v>
      </c>
      <c r="BI131" s="642">
        <f t="shared" si="73"/>
        <v>52.850000000000009</v>
      </c>
      <c r="BJ131" s="642">
        <f t="shared" si="73"/>
        <v>52.850000000000009</v>
      </c>
      <c r="BK131" s="642">
        <f t="shared" si="73"/>
        <v>52.850000000000009</v>
      </c>
      <c r="BL131" s="642">
        <f t="shared" si="73"/>
        <v>52.850000000000009</v>
      </c>
      <c r="BM131" s="642">
        <f t="shared" si="73"/>
        <v>52.850000000000009</v>
      </c>
      <c r="BN131" s="642">
        <f t="shared" si="73"/>
        <v>52.850000000000009</v>
      </c>
      <c r="BO131" s="642">
        <f t="shared" si="73"/>
        <v>52.850000000000009</v>
      </c>
      <c r="BP131" s="642">
        <f t="shared" si="73"/>
        <v>52.850000000000009</v>
      </c>
      <c r="BQ131" s="642">
        <f t="shared" si="73"/>
        <v>52.850000000000009</v>
      </c>
      <c r="BR131" s="642">
        <f t="shared" si="73"/>
        <v>52.850000000000009</v>
      </c>
      <c r="BS131" s="642">
        <f t="shared" si="73"/>
        <v>52.850000000000009</v>
      </c>
      <c r="BT131" s="642">
        <f t="shared" ref="BT131:CI131" si="74">(BT128)-(BT129+BT130)</f>
        <v>52.850000000000009</v>
      </c>
      <c r="BU131" s="642">
        <f t="shared" si="74"/>
        <v>52.850000000000009</v>
      </c>
      <c r="BV131" s="642">
        <f t="shared" si="74"/>
        <v>52.850000000000009</v>
      </c>
      <c r="BW131" s="642">
        <f t="shared" si="74"/>
        <v>52.850000000000009</v>
      </c>
      <c r="BX131" s="642">
        <f t="shared" si="74"/>
        <v>52.850000000000009</v>
      </c>
      <c r="BY131" s="642">
        <f t="shared" si="74"/>
        <v>52.850000000000009</v>
      </c>
      <c r="BZ131" s="642">
        <f t="shared" si="74"/>
        <v>52.850000000000009</v>
      </c>
      <c r="CA131" s="642">
        <f t="shared" si="74"/>
        <v>52.850000000000009</v>
      </c>
      <c r="CB131" s="642">
        <f t="shared" si="74"/>
        <v>52.850000000000009</v>
      </c>
      <c r="CC131" s="642">
        <f t="shared" si="74"/>
        <v>52.850000000000009</v>
      </c>
      <c r="CD131" s="642">
        <f t="shared" si="74"/>
        <v>52.850000000000009</v>
      </c>
      <c r="CE131" s="642">
        <f t="shared" si="74"/>
        <v>52.850000000000009</v>
      </c>
      <c r="CF131" s="642">
        <f t="shared" si="74"/>
        <v>52.850000000000009</v>
      </c>
      <c r="CG131" s="642">
        <f t="shared" si="74"/>
        <v>52.850000000000009</v>
      </c>
      <c r="CH131" s="642">
        <f t="shared" si="74"/>
        <v>52.850000000000009</v>
      </c>
      <c r="CI131" s="642">
        <f t="shared" si="74"/>
        <v>52.850000000000009</v>
      </c>
      <c r="CJ131" s="1478"/>
      <c r="CK131" s="1478"/>
      <c r="CL131" s="1478"/>
      <c r="CM131" s="1478"/>
      <c r="CN131" s="1478"/>
      <c r="CO131" s="1478"/>
      <c r="CP131" s="1478"/>
      <c r="CQ131" s="1478"/>
      <c r="CR131" s="1478"/>
      <c r="CS131" s="1478"/>
    </row>
    <row r="132" spans="2:97" ht="14.5" thickBot="1" x14ac:dyDescent="0.4">
      <c r="B132" s="809" t="s">
        <v>567</v>
      </c>
      <c r="C132" s="810" t="s">
        <v>345</v>
      </c>
      <c r="D132" s="810" t="s">
        <v>568</v>
      </c>
      <c r="E132" s="811" t="s">
        <v>305</v>
      </c>
      <c r="F132" s="812">
        <v>2</v>
      </c>
      <c r="G132" s="813">
        <f t="shared" ref="G132:AL132" si="75">G131+SUM(G124:G127)</f>
        <v>99.100000000000009</v>
      </c>
      <c r="H132" s="813">
        <f t="shared" si="75"/>
        <v>99.100000000000009</v>
      </c>
      <c r="I132" s="813">
        <f t="shared" si="75"/>
        <v>99.100000000000009</v>
      </c>
      <c r="J132" s="813">
        <f t="shared" si="75"/>
        <v>99.100000000000009</v>
      </c>
      <c r="K132" s="813">
        <f t="shared" si="75"/>
        <v>99.100000000000009</v>
      </c>
      <c r="L132" s="813">
        <f t="shared" si="75"/>
        <v>97.100000000000009</v>
      </c>
      <c r="M132" s="813">
        <f>M131+SUM(M124:M127)</f>
        <v>95.767847338129513</v>
      </c>
      <c r="N132" s="813">
        <f t="shared" si="75"/>
        <v>95.619947338129521</v>
      </c>
      <c r="O132" s="813">
        <f t="shared" si="75"/>
        <v>95.112047338129514</v>
      </c>
      <c r="P132" s="813">
        <f t="shared" si="75"/>
        <v>94.964147338129521</v>
      </c>
      <c r="Q132" s="813">
        <f t="shared" si="75"/>
        <v>94.816247338129514</v>
      </c>
      <c r="R132" s="813">
        <f t="shared" si="75"/>
        <v>89.158347338129516</v>
      </c>
      <c r="S132" s="813">
        <f t="shared" si="75"/>
        <v>101.51044733812951</v>
      </c>
      <c r="T132" s="813">
        <f t="shared" si="75"/>
        <v>102.36254733812952</v>
      </c>
      <c r="U132" s="813">
        <f>U131+SUM(U124:U127)</f>
        <v>102.21464733812951</v>
      </c>
      <c r="V132" s="813">
        <f t="shared" si="75"/>
        <v>102.06674733812952</v>
      </c>
      <c r="W132" s="813">
        <f t="shared" si="75"/>
        <v>101.91884733812951</v>
      </c>
      <c r="X132" s="813">
        <f t="shared" si="75"/>
        <v>119.77094733812953</v>
      </c>
      <c r="Y132" s="813">
        <f t="shared" si="75"/>
        <v>119.62304733812951</v>
      </c>
      <c r="Z132" s="813">
        <f t="shared" si="75"/>
        <v>119.47514733812952</v>
      </c>
      <c r="AA132" s="813">
        <f t="shared" si="75"/>
        <v>119.32724733812952</v>
      </c>
      <c r="AB132" s="813">
        <f t="shared" si="75"/>
        <v>94.29000000000002</v>
      </c>
      <c r="AC132" s="813">
        <f t="shared" si="75"/>
        <v>94.29000000000002</v>
      </c>
      <c r="AD132" s="813">
        <f t="shared" si="75"/>
        <v>94.29000000000002</v>
      </c>
      <c r="AE132" s="813">
        <f t="shared" si="75"/>
        <v>94.29000000000002</v>
      </c>
      <c r="AF132" s="813">
        <f t="shared" si="75"/>
        <v>94.29000000000002</v>
      </c>
      <c r="AG132" s="813">
        <f t="shared" si="75"/>
        <v>94.29000000000002</v>
      </c>
      <c r="AH132" s="813">
        <f t="shared" si="75"/>
        <v>94.29000000000002</v>
      </c>
      <c r="AI132" s="813">
        <f t="shared" si="75"/>
        <v>94.29000000000002</v>
      </c>
      <c r="AJ132" s="813">
        <f t="shared" si="75"/>
        <v>94.29000000000002</v>
      </c>
      <c r="AK132" s="813">
        <f t="shared" si="75"/>
        <v>94.29000000000002</v>
      </c>
      <c r="AL132" s="813">
        <f t="shared" si="75"/>
        <v>94.29000000000002</v>
      </c>
      <c r="AM132" s="813">
        <f t="shared" ref="AM132:BR132" si="76">AM131+SUM(AM124:AM127)</f>
        <v>94.29000000000002</v>
      </c>
      <c r="AN132" s="813">
        <f t="shared" si="76"/>
        <v>94.29000000000002</v>
      </c>
      <c r="AO132" s="813">
        <f t="shared" si="76"/>
        <v>94.29000000000002</v>
      </c>
      <c r="AP132" s="813">
        <f t="shared" si="76"/>
        <v>94.29000000000002</v>
      </c>
      <c r="AQ132" s="813">
        <f t="shared" si="76"/>
        <v>94.29000000000002</v>
      </c>
      <c r="AR132" s="813">
        <f t="shared" si="76"/>
        <v>94.29000000000002</v>
      </c>
      <c r="AS132" s="813">
        <f t="shared" si="76"/>
        <v>94.29000000000002</v>
      </c>
      <c r="AT132" s="813">
        <f t="shared" si="76"/>
        <v>94.29000000000002</v>
      </c>
      <c r="AU132" s="813">
        <f t="shared" si="76"/>
        <v>94.29000000000002</v>
      </c>
      <c r="AV132" s="813">
        <f t="shared" si="76"/>
        <v>94.29000000000002</v>
      </c>
      <c r="AW132" s="813">
        <f t="shared" si="76"/>
        <v>94.29000000000002</v>
      </c>
      <c r="AX132" s="813">
        <f t="shared" si="76"/>
        <v>94.29000000000002</v>
      </c>
      <c r="AY132" s="813">
        <f t="shared" si="76"/>
        <v>94.29000000000002</v>
      </c>
      <c r="AZ132" s="813">
        <f t="shared" si="76"/>
        <v>94.29000000000002</v>
      </c>
      <c r="BA132" s="813">
        <f t="shared" si="76"/>
        <v>94.29000000000002</v>
      </c>
      <c r="BB132" s="813">
        <f t="shared" si="76"/>
        <v>94.29000000000002</v>
      </c>
      <c r="BC132" s="813">
        <f t="shared" si="76"/>
        <v>94.29000000000002</v>
      </c>
      <c r="BD132" s="813">
        <f t="shared" si="76"/>
        <v>94.29000000000002</v>
      </c>
      <c r="BE132" s="813">
        <f t="shared" si="76"/>
        <v>96.29000000000002</v>
      </c>
      <c r="BF132" s="813">
        <f t="shared" si="76"/>
        <v>96.29000000000002</v>
      </c>
      <c r="BG132" s="813">
        <f t="shared" si="76"/>
        <v>96.29000000000002</v>
      </c>
      <c r="BH132" s="813">
        <f t="shared" si="76"/>
        <v>96.29000000000002</v>
      </c>
      <c r="BI132" s="813">
        <f t="shared" si="76"/>
        <v>96.29000000000002</v>
      </c>
      <c r="BJ132" s="813">
        <f t="shared" si="76"/>
        <v>96.29000000000002</v>
      </c>
      <c r="BK132" s="813">
        <f t="shared" si="76"/>
        <v>96.29000000000002</v>
      </c>
      <c r="BL132" s="813">
        <f t="shared" si="76"/>
        <v>96.29000000000002</v>
      </c>
      <c r="BM132" s="813">
        <f t="shared" si="76"/>
        <v>96.29000000000002</v>
      </c>
      <c r="BN132" s="813">
        <f t="shared" si="76"/>
        <v>96.29000000000002</v>
      </c>
      <c r="BO132" s="813">
        <f t="shared" si="76"/>
        <v>96.29000000000002</v>
      </c>
      <c r="BP132" s="813">
        <f t="shared" si="76"/>
        <v>96.29000000000002</v>
      </c>
      <c r="BQ132" s="813">
        <f t="shared" si="76"/>
        <v>96.29000000000002</v>
      </c>
      <c r="BR132" s="813">
        <f t="shared" si="76"/>
        <v>96.29000000000002</v>
      </c>
      <c r="BS132" s="813">
        <f t="shared" ref="BS132:CI132" si="77">BS131+SUM(BS124:BS127)</f>
        <v>96.29000000000002</v>
      </c>
      <c r="BT132" s="813">
        <f t="shared" si="77"/>
        <v>96.29000000000002</v>
      </c>
      <c r="BU132" s="813">
        <f t="shared" si="77"/>
        <v>96.29000000000002</v>
      </c>
      <c r="BV132" s="813">
        <f t="shared" si="77"/>
        <v>96.29000000000002</v>
      </c>
      <c r="BW132" s="813">
        <f t="shared" si="77"/>
        <v>96.29000000000002</v>
      </c>
      <c r="BX132" s="813">
        <f t="shared" si="77"/>
        <v>96.29000000000002</v>
      </c>
      <c r="BY132" s="813">
        <f t="shared" si="77"/>
        <v>96.29000000000002</v>
      </c>
      <c r="BZ132" s="813">
        <f t="shared" si="77"/>
        <v>96.29000000000002</v>
      </c>
      <c r="CA132" s="813">
        <f t="shared" si="77"/>
        <v>96.29000000000002</v>
      </c>
      <c r="CB132" s="813">
        <f t="shared" si="77"/>
        <v>96.29000000000002</v>
      </c>
      <c r="CC132" s="813">
        <f t="shared" si="77"/>
        <v>96.29000000000002</v>
      </c>
      <c r="CD132" s="813">
        <f t="shared" si="77"/>
        <v>96.29000000000002</v>
      </c>
      <c r="CE132" s="813">
        <f t="shared" si="77"/>
        <v>96.29000000000002</v>
      </c>
      <c r="CF132" s="813">
        <f t="shared" si="77"/>
        <v>96.29000000000002</v>
      </c>
      <c r="CG132" s="813">
        <f t="shared" si="77"/>
        <v>96.29000000000002</v>
      </c>
      <c r="CH132" s="813">
        <f t="shared" si="77"/>
        <v>96.29000000000002</v>
      </c>
      <c r="CI132" s="813">
        <f t="shared" si="77"/>
        <v>96.29000000000002</v>
      </c>
      <c r="CJ132" s="1478"/>
      <c r="CK132" s="1478"/>
      <c r="CL132" s="1478"/>
      <c r="CM132" s="1478"/>
      <c r="CN132" s="1478"/>
      <c r="CO132" s="1478"/>
      <c r="CP132" s="1478"/>
      <c r="CQ132" s="1478"/>
      <c r="CR132" s="1478"/>
      <c r="CS132" s="1478"/>
    </row>
    <row r="133" spans="2:97" x14ac:dyDescent="0.35">
      <c r="B133" s="814" t="s">
        <v>569</v>
      </c>
      <c r="C133" s="815" t="s">
        <v>348</v>
      </c>
      <c r="D133" s="816" t="s">
        <v>570</v>
      </c>
      <c r="E133" s="817" t="s">
        <v>305</v>
      </c>
      <c r="F133" s="818">
        <v>2</v>
      </c>
      <c r="G133" s="819">
        <f t="shared" ref="G133:AL133" si="78">G43+G107</f>
        <v>21.64</v>
      </c>
      <c r="H133" s="819">
        <f t="shared" si="78"/>
        <v>23.063559690000002</v>
      </c>
      <c r="I133" s="819">
        <f t="shared" si="78"/>
        <v>23.70723061</v>
      </c>
      <c r="J133" s="819">
        <f t="shared" si="78"/>
        <v>24.74716566</v>
      </c>
      <c r="K133" s="819">
        <f t="shared" si="78"/>
        <v>26.008108379999999</v>
      </c>
      <c r="L133" s="819">
        <f t="shared" si="78"/>
        <v>26.981185669999999</v>
      </c>
      <c r="M133" s="820">
        <f t="shared" si="78"/>
        <v>27.250952139999999</v>
      </c>
      <c r="N133" s="820">
        <f t="shared" si="78"/>
        <v>27.539201370000001</v>
      </c>
      <c r="O133" s="820">
        <f t="shared" si="78"/>
        <v>27.823065119999999</v>
      </c>
      <c r="P133" s="820">
        <f t="shared" si="78"/>
        <v>28.052994179999999</v>
      </c>
      <c r="Q133" s="820">
        <f t="shared" si="78"/>
        <v>28.237555440000001</v>
      </c>
      <c r="R133" s="820">
        <f t="shared" si="78"/>
        <v>28.55761717</v>
      </c>
      <c r="S133" s="820">
        <f t="shared" si="78"/>
        <v>28.82680221</v>
      </c>
      <c r="T133" s="820">
        <f t="shared" si="78"/>
        <v>29.063029350000001</v>
      </c>
      <c r="U133" s="820">
        <f t="shared" si="78"/>
        <v>29.346928450000004</v>
      </c>
      <c r="V133" s="820">
        <f t="shared" si="78"/>
        <v>29.563209850000003</v>
      </c>
      <c r="W133" s="820">
        <f t="shared" si="78"/>
        <v>30.047829459999999</v>
      </c>
      <c r="X133" s="820">
        <f t="shared" si="78"/>
        <v>30.540517380000001</v>
      </c>
      <c r="Y133" s="820">
        <f t="shared" si="78"/>
        <v>31.009892590000003</v>
      </c>
      <c r="Z133" s="820">
        <f t="shared" si="78"/>
        <v>31.442552450000004</v>
      </c>
      <c r="AA133" s="820">
        <f t="shared" si="78"/>
        <v>31.517216579999999</v>
      </c>
      <c r="AB133" s="820">
        <f t="shared" si="78"/>
        <v>31.591880710000002</v>
      </c>
      <c r="AC133" s="820">
        <f t="shared" si="78"/>
        <v>31.666544840000004</v>
      </c>
      <c r="AD133" s="820">
        <f t="shared" si="78"/>
        <v>31.741208969999999</v>
      </c>
      <c r="AE133" s="820">
        <f t="shared" si="78"/>
        <v>31.815873100000001</v>
      </c>
      <c r="AF133" s="820">
        <f t="shared" si="78"/>
        <v>31.890537230000003</v>
      </c>
      <c r="AG133" s="820">
        <f t="shared" si="78"/>
        <v>31.965201359999998</v>
      </c>
      <c r="AH133" s="820">
        <f t="shared" si="78"/>
        <v>32.039865489999997</v>
      </c>
      <c r="AI133" s="820">
        <f t="shared" si="78"/>
        <v>32.114529619999999</v>
      </c>
      <c r="AJ133" s="820">
        <f t="shared" si="78"/>
        <v>32.189193749999994</v>
      </c>
      <c r="AK133" s="820">
        <f t="shared" si="78"/>
        <v>32.263857879999996</v>
      </c>
      <c r="AL133" s="820">
        <f t="shared" si="78"/>
        <v>32.338522009999998</v>
      </c>
      <c r="AM133" s="820">
        <f t="shared" ref="AM133:BR133" si="79">AM43+AM107</f>
        <v>32.413186140000001</v>
      </c>
      <c r="AN133" s="820">
        <f t="shared" si="79"/>
        <v>32.487850269999996</v>
      </c>
      <c r="AO133" s="820">
        <f t="shared" si="79"/>
        <v>32.562514399999998</v>
      </c>
      <c r="AP133" s="820">
        <f t="shared" si="79"/>
        <v>32.63717853</v>
      </c>
      <c r="AQ133" s="820">
        <f t="shared" si="79"/>
        <v>32.711842659999995</v>
      </c>
      <c r="AR133" s="820">
        <f t="shared" si="79"/>
        <v>32.786506789999997</v>
      </c>
      <c r="AS133" s="820">
        <f t="shared" si="79"/>
        <v>32.861170919999999</v>
      </c>
      <c r="AT133" s="820">
        <f t="shared" si="79"/>
        <v>32.935835049999994</v>
      </c>
      <c r="AU133" s="820">
        <f t="shared" si="79"/>
        <v>33.010499189999997</v>
      </c>
      <c r="AV133" s="820">
        <f t="shared" si="79"/>
        <v>33.085163319999999</v>
      </c>
      <c r="AW133" s="820">
        <f t="shared" si="79"/>
        <v>33.159827449999995</v>
      </c>
      <c r="AX133" s="820">
        <f t="shared" si="79"/>
        <v>33.234491579999997</v>
      </c>
      <c r="AY133" s="820">
        <f t="shared" si="79"/>
        <v>33.309155709999999</v>
      </c>
      <c r="AZ133" s="820">
        <f t="shared" si="79"/>
        <v>33.383819839999994</v>
      </c>
      <c r="BA133" s="820">
        <f t="shared" si="79"/>
        <v>33.458483969999996</v>
      </c>
      <c r="BB133" s="820">
        <f t="shared" si="79"/>
        <v>33.533148099999998</v>
      </c>
      <c r="BC133" s="820">
        <f t="shared" si="79"/>
        <v>33.60781223</v>
      </c>
      <c r="BD133" s="820">
        <f t="shared" si="79"/>
        <v>33.682476359999995</v>
      </c>
      <c r="BE133" s="820">
        <f t="shared" si="79"/>
        <v>33.757140489999998</v>
      </c>
      <c r="BF133" s="820">
        <f t="shared" si="79"/>
        <v>33.83180462</v>
      </c>
      <c r="BG133" s="820">
        <f t="shared" si="79"/>
        <v>33.906468749999995</v>
      </c>
      <c r="BH133" s="820">
        <f t="shared" si="79"/>
        <v>33.981132879999997</v>
      </c>
      <c r="BI133" s="820">
        <f t="shared" si="79"/>
        <v>34.055797009999999</v>
      </c>
      <c r="BJ133" s="820">
        <f t="shared" si="79"/>
        <v>34.130461139999994</v>
      </c>
      <c r="BK133" s="820">
        <f t="shared" si="79"/>
        <v>34.205125269999996</v>
      </c>
      <c r="BL133" s="820">
        <f t="shared" si="79"/>
        <v>34.279789399999999</v>
      </c>
      <c r="BM133" s="820">
        <f t="shared" si="79"/>
        <v>34.354453530000001</v>
      </c>
      <c r="BN133" s="820">
        <f t="shared" si="79"/>
        <v>34.429117659999996</v>
      </c>
      <c r="BO133" s="820">
        <f t="shared" si="79"/>
        <v>34.503781789999998</v>
      </c>
      <c r="BP133" s="820">
        <f t="shared" si="79"/>
        <v>34.57844592</v>
      </c>
      <c r="BQ133" s="820">
        <f t="shared" si="79"/>
        <v>34.653110049999995</v>
      </c>
      <c r="BR133" s="820">
        <f t="shared" si="79"/>
        <v>34.727774179999997</v>
      </c>
      <c r="BS133" s="820">
        <f t="shared" ref="BS133:CI133" si="80">BS43+BS107</f>
        <v>34.802438309999999</v>
      </c>
      <c r="BT133" s="820">
        <f t="shared" si="80"/>
        <v>34.877102439999994</v>
      </c>
      <c r="BU133" s="820">
        <f t="shared" si="80"/>
        <v>34.951766569999997</v>
      </c>
      <c r="BV133" s="820">
        <f t="shared" si="80"/>
        <v>35.026430699999999</v>
      </c>
      <c r="BW133" s="820">
        <f t="shared" si="80"/>
        <v>35.101094830000001</v>
      </c>
      <c r="BX133" s="820">
        <f t="shared" si="80"/>
        <v>35.175758959999996</v>
      </c>
      <c r="BY133" s="820">
        <f t="shared" si="80"/>
        <v>35.250423089999998</v>
      </c>
      <c r="BZ133" s="820">
        <f t="shared" si="80"/>
        <v>35.32508722</v>
      </c>
      <c r="CA133" s="820">
        <f t="shared" si="80"/>
        <v>35.399751349999995</v>
      </c>
      <c r="CB133" s="820">
        <f t="shared" si="80"/>
        <v>35.474415479999998</v>
      </c>
      <c r="CC133" s="820">
        <f t="shared" si="80"/>
        <v>35.54907961</v>
      </c>
      <c r="CD133" s="820">
        <f t="shared" si="80"/>
        <v>35.623743739999995</v>
      </c>
      <c r="CE133" s="820">
        <f t="shared" si="80"/>
        <v>35.698407869999997</v>
      </c>
      <c r="CF133" s="820">
        <f t="shared" si="80"/>
        <v>35.773071999999999</v>
      </c>
      <c r="CG133" s="820">
        <f t="shared" si="80"/>
        <v>35.847736129999994</v>
      </c>
      <c r="CH133" s="820">
        <f t="shared" si="80"/>
        <v>35.847736129999994</v>
      </c>
      <c r="CI133" s="821">
        <f t="shared" si="80"/>
        <v>35.847736129999994</v>
      </c>
      <c r="CJ133" s="1478"/>
      <c r="CK133" s="1478"/>
      <c r="CL133" s="1478"/>
      <c r="CM133" s="1478"/>
      <c r="CN133" s="1478"/>
      <c r="CO133" s="1478"/>
      <c r="CP133" s="1478"/>
      <c r="CQ133" s="1478"/>
      <c r="CR133" s="1478"/>
      <c r="CS133" s="1478"/>
    </row>
    <row r="134" spans="2:97" x14ac:dyDescent="0.35">
      <c r="B134" s="1137" t="s">
        <v>571</v>
      </c>
      <c r="C134" s="1138" t="s">
        <v>572</v>
      </c>
      <c r="D134" s="1139" t="s">
        <v>82</v>
      </c>
      <c r="E134" s="1140" t="s">
        <v>305</v>
      </c>
      <c r="F134" s="1141">
        <v>2</v>
      </c>
      <c r="G134" s="611"/>
      <c r="H134" s="611"/>
      <c r="I134" s="611"/>
      <c r="J134" s="611"/>
      <c r="K134" s="611"/>
      <c r="L134" s="611"/>
      <c r="M134" s="612"/>
      <c r="N134" s="612"/>
      <c r="O134" s="612"/>
      <c r="P134" s="612"/>
      <c r="Q134" s="612"/>
      <c r="R134" s="612"/>
      <c r="S134" s="612"/>
      <c r="T134" s="612"/>
      <c r="U134" s="612"/>
      <c r="V134" s="612"/>
      <c r="W134" s="612"/>
      <c r="X134" s="612"/>
      <c r="Y134" s="612"/>
      <c r="Z134" s="612"/>
      <c r="AA134" s="612"/>
      <c r="AB134" s="612"/>
      <c r="AC134" s="612"/>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612"/>
      <c r="AY134" s="612"/>
      <c r="AZ134" s="612"/>
      <c r="BA134" s="612"/>
      <c r="BB134" s="612"/>
      <c r="BC134" s="612"/>
      <c r="BD134" s="612"/>
      <c r="BE134" s="612"/>
      <c r="BF134" s="612"/>
      <c r="BG134" s="612"/>
      <c r="BH134" s="612"/>
      <c r="BI134" s="612"/>
      <c r="BJ134" s="612"/>
      <c r="BK134" s="612"/>
      <c r="BL134" s="612"/>
      <c r="BM134" s="612"/>
      <c r="BN134" s="612"/>
      <c r="BO134" s="612"/>
      <c r="BP134" s="612"/>
      <c r="BQ134" s="612"/>
      <c r="BR134" s="612"/>
      <c r="BS134" s="612"/>
      <c r="BT134" s="612"/>
      <c r="BU134" s="612"/>
      <c r="BV134" s="612"/>
      <c r="BW134" s="612"/>
      <c r="BX134" s="612"/>
      <c r="BY134" s="612"/>
      <c r="BZ134" s="612"/>
      <c r="CA134" s="612"/>
      <c r="CB134" s="612"/>
      <c r="CC134" s="612"/>
      <c r="CD134" s="612"/>
      <c r="CE134" s="612"/>
      <c r="CF134" s="612"/>
      <c r="CG134" s="612"/>
      <c r="CH134" s="612"/>
      <c r="CI134" s="613"/>
      <c r="CJ134" s="1478"/>
      <c r="CK134" s="1478"/>
      <c r="CL134" s="1478"/>
      <c r="CM134" s="1478"/>
      <c r="CN134" s="1478"/>
      <c r="CO134" s="1478"/>
      <c r="CP134" s="1478"/>
      <c r="CQ134" s="1478"/>
      <c r="CR134" s="1478"/>
      <c r="CS134" s="1478"/>
    </row>
    <row r="135" spans="2:97" x14ac:dyDescent="0.35">
      <c r="B135" s="1137" t="s">
        <v>573</v>
      </c>
      <c r="C135" s="1138" t="s">
        <v>352</v>
      </c>
      <c r="D135" s="1139" t="s">
        <v>574</v>
      </c>
      <c r="E135" s="1140" t="s">
        <v>305</v>
      </c>
      <c r="F135" s="1141">
        <v>2</v>
      </c>
      <c r="G135" s="642">
        <f t="shared" ref="G135:AL135" si="81">G45+G108</f>
        <v>1.01</v>
      </c>
      <c r="H135" s="642">
        <f t="shared" si="81"/>
        <v>1.01</v>
      </c>
      <c r="I135" s="642">
        <f t="shared" si="81"/>
        <v>1.01</v>
      </c>
      <c r="J135" s="642">
        <f t="shared" si="81"/>
        <v>1.01</v>
      </c>
      <c r="K135" s="642">
        <f t="shared" si="81"/>
        <v>1.01</v>
      </c>
      <c r="L135" s="642">
        <f t="shared" si="81"/>
        <v>1.01</v>
      </c>
      <c r="M135" s="802">
        <f t="shared" si="81"/>
        <v>0.91900000000000004</v>
      </c>
      <c r="N135" s="802">
        <f t="shared" si="81"/>
        <v>0.82800000000000007</v>
      </c>
      <c r="O135" s="802">
        <f t="shared" si="81"/>
        <v>0.73699999999999999</v>
      </c>
      <c r="P135" s="802">
        <f t="shared" si="81"/>
        <v>0.64600000000000002</v>
      </c>
      <c r="Q135" s="802">
        <f t="shared" si="81"/>
        <v>0.55500000000000005</v>
      </c>
      <c r="R135" s="802">
        <f t="shared" si="81"/>
        <v>0.46399999999999997</v>
      </c>
      <c r="S135" s="802">
        <f t="shared" si="81"/>
        <v>0.373</v>
      </c>
      <c r="T135" s="802">
        <f t="shared" si="81"/>
        <v>0.28200000000000003</v>
      </c>
      <c r="U135" s="802">
        <f t="shared" si="81"/>
        <v>0.19100000000000006</v>
      </c>
      <c r="V135" s="802">
        <f t="shared" si="81"/>
        <v>0.10000000000000009</v>
      </c>
      <c r="W135" s="802">
        <f t="shared" si="81"/>
        <v>0.10000000000000009</v>
      </c>
      <c r="X135" s="802">
        <f t="shared" si="81"/>
        <v>0.10000000000000009</v>
      </c>
      <c r="Y135" s="802">
        <f t="shared" si="81"/>
        <v>0.10000000000000009</v>
      </c>
      <c r="Z135" s="802">
        <f t="shared" si="81"/>
        <v>0.10000000000000009</v>
      </c>
      <c r="AA135" s="802">
        <f t="shared" si="81"/>
        <v>0.10229540400000015</v>
      </c>
      <c r="AB135" s="802">
        <f t="shared" si="81"/>
        <v>0.10459080900000006</v>
      </c>
      <c r="AC135" s="802">
        <f t="shared" si="81"/>
        <v>0.10688621300000012</v>
      </c>
      <c r="AD135" s="802">
        <f t="shared" si="81"/>
        <v>0.10918161800000004</v>
      </c>
      <c r="AE135" s="802">
        <f t="shared" si="81"/>
        <v>0.11147702200000009</v>
      </c>
      <c r="AF135" s="802">
        <f t="shared" si="81"/>
        <v>0.11377242700000001</v>
      </c>
      <c r="AG135" s="802">
        <f t="shared" si="81"/>
        <v>0.11606783100000007</v>
      </c>
      <c r="AH135" s="802">
        <f t="shared" si="81"/>
        <v>0.11836323599999998</v>
      </c>
      <c r="AI135" s="802">
        <f t="shared" si="81"/>
        <v>0.12065864000000004</v>
      </c>
      <c r="AJ135" s="802">
        <f t="shared" si="81"/>
        <v>0.12295404500000018</v>
      </c>
      <c r="AK135" s="802">
        <f t="shared" si="81"/>
        <v>0.12524944900000001</v>
      </c>
      <c r="AL135" s="802">
        <f t="shared" si="81"/>
        <v>0.12754485400000015</v>
      </c>
      <c r="AM135" s="802">
        <f t="shared" ref="AM135:BR135" si="82">AM45+AM108</f>
        <v>0.12984025799999999</v>
      </c>
      <c r="AN135" s="802">
        <f t="shared" si="82"/>
        <v>0.13213566300000013</v>
      </c>
      <c r="AO135" s="802">
        <f t="shared" si="82"/>
        <v>0.13443106700000018</v>
      </c>
      <c r="AP135" s="802">
        <f t="shared" si="82"/>
        <v>0.13672647100000002</v>
      </c>
      <c r="AQ135" s="802">
        <f t="shared" si="82"/>
        <v>0.13902187600000016</v>
      </c>
      <c r="AR135" s="802">
        <f t="shared" si="82"/>
        <v>0.14131727999999999</v>
      </c>
      <c r="AS135" s="802">
        <f t="shared" si="82"/>
        <v>0.14361268500000013</v>
      </c>
      <c r="AT135" s="802">
        <f t="shared" si="82"/>
        <v>0.14590808900000019</v>
      </c>
      <c r="AU135" s="802">
        <f t="shared" si="82"/>
        <v>0.1482034940000001</v>
      </c>
      <c r="AV135" s="802">
        <f t="shared" si="82"/>
        <v>0.15049889800000016</v>
      </c>
      <c r="AW135" s="802">
        <f t="shared" si="82"/>
        <v>0.15279430300000008</v>
      </c>
      <c r="AX135" s="802">
        <f t="shared" si="82"/>
        <v>0.15508970700000013</v>
      </c>
      <c r="AY135" s="802">
        <f t="shared" si="82"/>
        <v>0.15738511200000005</v>
      </c>
      <c r="AZ135" s="802">
        <f t="shared" si="82"/>
        <v>0.15968051600000011</v>
      </c>
      <c r="BA135" s="802">
        <f t="shared" si="82"/>
        <v>0.16197592100000002</v>
      </c>
      <c r="BB135" s="802">
        <f t="shared" si="82"/>
        <v>0.16427132500000008</v>
      </c>
      <c r="BC135" s="802">
        <f t="shared" si="82"/>
        <v>0.16656672900000014</v>
      </c>
      <c r="BD135" s="802">
        <f t="shared" si="82"/>
        <v>0.16886213400000005</v>
      </c>
      <c r="BE135" s="802">
        <f t="shared" si="82"/>
        <v>0.17115753800000011</v>
      </c>
      <c r="BF135" s="802">
        <f t="shared" si="82"/>
        <v>0.17345294300000003</v>
      </c>
      <c r="BG135" s="802">
        <f t="shared" si="82"/>
        <v>0.17574834700000008</v>
      </c>
      <c r="BH135" s="802">
        <f t="shared" si="82"/>
        <v>0.178043752</v>
      </c>
      <c r="BI135" s="802">
        <f t="shared" si="82"/>
        <v>0.18033915600000006</v>
      </c>
      <c r="BJ135" s="802">
        <f t="shared" si="82"/>
        <v>0.18263456099999997</v>
      </c>
      <c r="BK135" s="802">
        <f t="shared" si="82"/>
        <v>0.18492996500000003</v>
      </c>
      <c r="BL135" s="802">
        <f t="shared" si="82"/>
        <v>0.18722537000000017</v>
      </c>
      <c r="BM135" s="802">
        <f t="shared" si="82"/>
        <v>0.189520774</v>
      </c>
      <c r="BN135" s="802">
        <f t="shared" si="82"/>
        <v>0.19181617900000014</v>
      </c>
      <c r="BO135" s="802">
        <f t="shared" si="82"/>
        <v>0.19411158299999998</v>
      </c>
      <c r="BP135" s="802">
        <f t="shared" si="82"/>
        <v>0.19640698800000012</v>
      </c>
      <c r="BQ135" s="802">
        <f t="shared" si="82"/>
        <v>0.19870239200000017</v>
      </c>
      <c r="BR135" s="802">
        <f t="shared" si="82"/>
        <v>0.20099779600000001</v>
      </c>
      <c r="BS135" s="802">
        <f t="shared" ref="BS135:CI135" si="83">BS45+BS108</f>
        <v>0.20329320100000015</v>
      </c>
      <c r="BT135" s="802">
        <f t="shared" si="83"/>
        <v>0.20558860499999998</v>
      </c>
      <c r="BU135" s="802">
        <f t="shared" si="83"/>
        <v>0.20788401000000012</v>
      </c>
      <c r="BV135" s="802">
        <f t="shared" si="83"/>
        <v>0.21017941400000018</v>
      </c>
      <c r="BW135" s="802">
        <f t="shared" si="83"/>
        <v>0.21247481900000009</v>
      </c>
      <c r="BX135" s="802">
        <f t="shared" si="83"/>
        <v>0.21477022300000015</v>
      </c>
      <c r="BY135" s="802">
        <f t="shared" si="83"/>
        <v>0.21706562800000007</v>
      </c>
      <c r="BZ135" s="802">
        <f t="shared" si="83"/>
        <v>0.21936103200000012</v>
      </c>
      <c r="CA135" s="802">
        <f t="shared" si="83"/>
        <v>0.22165643700000004</v>
      </c>
      <c r="CB135" s="802">
        <f t="shared" si="83"/>
        <v>0.2239518410000001</v>
      </c>
      <c r="CC135" s="802">
        <f t="shared" si="83"/>
        <v>0.22624724600000001</v>
      </c>
      <c r="CD135" s="802">
        <f t="shared" si="83"/>
        <v>0.22854265000000007</v>
      </c>
      <c r="CE135" s="802">
        <f t="shared" si="83"/>
        <v>0.23083805499999999</v>
      </c>
      <c r="CF135" s="802">
        <f t="shared" si="83"/>
        <v>0.23313345900000004</v>
      </c>
      <c r="CG135" s="802">
        <f t="shared" si="83"/>
        <v>0.2354288630000001</v>
      </c>
      <c r="CH135" s="802">
        <f t="shared" si="83"/>
        <v>0.2354288630000001</v>
      </c>
      <c r="CI135" s="803">
        <f t="shared" si="83"/>
        <v>0.2354288630000001</v>
      </c>
      <c r="CJ135" s="1478"/>
      <c r="CK135" s="1478"/>
      <c r="CL135" s="1478"/>
      <c r="CM135" s="1478"/>
      <c r="CN135" s="1478"/>
      <c r="CO135" s="1478"/>
      <c r="CP135" s="1478"/>
      <c r="CQ135" s="1478"/>
      <c r="CR135" s="1478"/>
      <c r="CS135" s="1478"/>
    </row>
    <row r="136" spans="2:97" x14ac:dyDescent="0.35">
      <c r="B136" s="822" t="s">
        <v>575</v>
      </c>
      <c r="C136" s="823" t="s">
        <v>354</v>
      </c>
      <c r="D136" s="824" t="s">
        <v>576</v>
      </c>
      <c r="E136" s="825" t="s">
        <v>305</v>
      </c>
      <c r="F136" s="826">
        <v>2</v>
      </c>
      <c r="G136" s="642">
        <f t="shared" ref="G136:AL136" si="84">G46+G109</f>
        <v>36.453543599999996</v>
      </c>
      <c r="H136" s="642">
        <f t="shared" si="84"/>
        <v>33.913543599999997</v>
      </c>
      <c r="I136" s="642">
        <f t="shared" si="84"/>
        <v>34.03018256</v>
      </c>
      <c r="J136" s="642">
        <f t="shared" si="84"/>
        <v>33.886843640000002</v>
      </c>
      <c r="K136" s="642">
        <f t="shared" si="84"/>
        <v>33.676313270000001</v>
      </c>
      <c r="L136" s="642">
        <f t="shared" si="84"/>
        <v>34.813497130000002</v>
      </c>
      <c r="M136" s="802">
        <f t="shared" si="84"/>
        <v>36.181408818181815</v>
      </c>
      <c r="N136" s="802">
        <f t="shared" si="84"/>
        <v>37.717108046363641</v>
      </c>
      <c r="O136" s="802">
        <f t="shared" si="84"/>
        <v>39.234408554545453</v>
      </c>
      <c r="P136" s="802">
        <f t="shared" si="84"/>
        <v>40.664490002727284</v>
      </c>
      <c r="Q136" s="802">
        <f t="shared" si="84"/>
        <v>41.832289217977419</v>
      </c>
      <c r="R136" s="802">
        <f t="shared" si="84"/>
        <v>42.928279357208602</v>
      </c>
      <c r="S136" s="802">
        <f t="shared" si="84"/>
        <v>43.911158866695857</v>
      </c>
      <c r="T136" s="802">
        <f t="shared" si="84"/>
        <v>44.896196329567573</v>
      </c>
      <c r="U136" s="802">
        <f t="shared" si="84"/>
        <v>45.889912594084535</v>
      </c>
      <c r="V136" s="802">
        <f t="shared" si="84"/>
        <v>46.843305808519716</v>
      </c>
      <c r="W136" s="802">
        <f t="shared" si="84"/>
        <v>47.844707938253059</v>
      </c>
      <c r="X136" s="802">
        <f t="shared" si="84"/>
        <v>47.685650364462205</v>
      </c>
      <c r="Y136" s="802">
        <f t="shared" si="84"/>
        <v>47.538369379039239</v>
      </c>
      <c r="Z136" s="802">
        <f t="shared" si="84"/>
        <v>47.369339171667242</v>
      </c>
      <c r="AA136" s="802">
        <f t="shared" si="84"/>
        <v>47.200375822295413</v>
      </c>
      <c r="AB136" s="802">
        <f t="shared" si="84"/>
        <v>47.018278660323382</v>
      </c>
      <c r="AC136" s="802">
        <f t="shared" si="84"/>
        <v>46.823556690779171</v>
      </c>
      <c r="AD136" s="802">
        <f t="shared" si="84"/>
        <v>46.619795425866741</v>
      </c>
      <c r="AE136" s="802">
        <f t="shared" si="84"/>
        <v>46.399300727314831</v>
      </c>
      <c r="AF136" s="802">
        <f t="shared" si="84"/>
        <v>46.157381683940756</v>
      </c>
      <c r="AG136" s="802">
        <f t="shared" si="84"/>
        <v>46.158125913718159</v>
      </c>
      <c r="AH136" s="802">
        <f t="shared" si="84"/>
        <v>46.150809657545608</v>
      </c>
      <c r="AI136" s="802">
        <f t="shared" si="84"/>
        <v>46.132009554138662</v>
      </c>
      <c r="AJ136" s="802">
        <f t="shared" si="84"/>
        <v>46.09771016917027</v>
      </c>
      <c r="AK136" s="802">
        <f t="shared" si="84"/>
        <v>45.985183251878084</v>
      </c>
      <c r="AL136" s="802">
        <f t="shared" si="84"/>
        <v>45.9042482418917</v>
      </c>
      <c r="AM136" s="802">
        <f t="shared" ref="AM136:BR136" si="85">AM46+AM109</f>
        <v>45.82324371981472</v>
      </c>
      <c r="AN136" s="802">
        <f t="shared" si="85"/>
        <v>45.739640066069526</v>
      </c>
      <c r="AO136" s="802">
        <f t="shared" si="85"/>
        <v>45.767412680293162</v>
      </c>
      <c r="AP136" s="802">
        <f t="shared" si="85"/>
        <v>45.795812985475457</v>
      </c>
      <c r="AQ136" s="802">
        <f t="shared" si="85"/>
        <v>45.823943860527052</v>
      </c>
      <c r="AR136" s="802">
        <f t="shared" si="85"/>
        <v>45.845945422733472</v>
      </c>
      <c r="AS136" s="802">
        <f t="shared" si="85"/>
        <v>45.863974714680936</v>
      </c>
      <c r="AT136" s="802">
        <f t="shared" si="85"/>
        <v>45.88290850935536</v>
      </c>
      <c r="AU136" s="802">
        <f t="shared" si="85"/>
        <v>45.899516445923098</v>
      </c>
      <c r="AV136" s="802">
        <f t="shared" si="85"/>
        <v>45.915195656579506</v>
      </c>
      <c r="AW136" s="802">
        <f t="shared" si="85"/>
        <v>45.931602709411784</v>
      </c>
      <c r="AX136" s="802">
        <f t="shared" si="85"/>
        <v>45.948451738313977</v>
      </c>
      <c r="AY136" s="802">
        <f t="shared" si="85"/>
        <v>45.96751079787424</v>
      </c>
      <c r="AZ136" s="802">
        <f t="shared" si="85"/>
        <v>45.988878485132332</v>
      </c>
      <c r="BA136" s="802">
        <f t="shared" si="85"/>
        <v>46.012011527781752</v>
      </c>
      <c r="BB136" s="802">
        <f t="shared" si="85"/>
        <v>46.035237164596658</v>
      </c>
      <c r="BC136" s="802">
        <f t="shared" si="85"/>
        <v>46.061232591954521</v>
      </c>
      <c r="BD136" s="802">
        <f t="shared" si="85"/>
        <v>46.088981915857872</v>
      </c>
      <c r="BE136" s="802">
        <f t="shared" si="85"/>
        <v>46.118949600282484</v>
      </c>
      <c r="BF136" s="802">
        <f t="shared" si="85"/>
        <v>46.153072130277423</v>
      </c>
      <c r="BG136" s="802">
        <f t="shared" si="85"/>
        <v>46.190716876592447</v>
      </c>
      <c r="BH136" s="802">
        <f t="shared" si="85"/>
        <v>46.232098366205889</v>
      </c>
      <c r="BI136" s="802">
        <f t="shared" si="85"/>
        <v>46.275691010225081</v>
      </c>
      <c r="BJ136" s="802">
        <f t="shared" si="85"/>
        <v>46.322271844986687</v>
      </c>
      <c r="BK136" s="802">
        <f t="shared" si="85"/>
        <v>46.371429959688726</v>
      </c>
      <c r="BL136" s="802">
        <f t="shared" si="85"/>
        <v>46.42418278390322</v>
      </c>
      <c r="BM136" s="802">
        <f t="shared" si="85"/>
        <v>46.481835321195874</v>
      </c>
      <c r="BN136" s="802">
        <f t="shared" si="85"/>
        <v>46.543536919754217</v>
      </c>
      <c r="BO136" s="802">
        <f t="shared" si="85"/>
        <v>46.610808564026925</v>
      </c>
      <c r="BP136" s="802">
        <f t="shared" si="85"/>
        <v>46.682577018072287</v>
      </c>
      <c r="BQ136" s="802">
        <f t="shared" si="85"/>
        <v>46.758881006487044</v>
      </c>
      <c r="BR136" s="802">
        <f t="shared" si="85"/>
        <v>46.837178687659382</v>
      </c>
      <c r="BS136" s="802">
        <f t="shared" ref="BS136:CI136" si="86">BS46+BS109</f>
        <v>46.91850790904023</v>
      </c>
      <c r="BT136" s="802">
        <f t="shared" si="86"/>
        <v>47.002460820730107</v>
      </c>
      <c r="BU136" s="802">
        <f t="shared" si="86"/>
        <v>47.089737669794943</v>
      </c>
      <c r="BV136" s="802">
        <f t="shared" si="86"/>
        <v>47.177627729991954</v>
      </c>
      <c r="BW136" s="802">
        <f t="shared" si="86"/>
        <v>47.267514965110635</v>
      </c>
      <c r="BX136" s="802">
        <f t="shared" si="86"/>
        <v>47.359154743296962</v>
      </c>
      <c r="BY136" s="802">
        <f t="shared" si="86"/>
        <v>47.453096614406498</v>
      </c>
      <c r="BZ136" s="802">
        <f t="shared" si="86"/>
        <v>47.547909672085403</v>
      </c>
      <c r="CA136" s="802">
        <f t="shared" si="86"/>
        <v>47.643849163571844</v>
      </c>
      <c r="CB136" s="802">
        <f t="shared" si="86"/>
        <v>47.738899320954225</v>
      </c>
      <c r="CC136" s="802">
        <f t="shared" si="86"/>
        <v>47.834728533547953</v>
      </c>
      <c r="CD136" s="802">
        <f t="shared" si="86"/>
        <v>47.929802265509181</v>
      </c>
      <c r="CE136" s="802">
        <f t="shared" si="86"/>
        <v>48.024170416930019</v>
      </c>
      <c r="CF136" s="802">
        <f t="shared" si="86"/>
        <v>48.116826702217296</v>
      </c>
      <c r="CG136" s="802">
        <f t="shared" si="86"/>
        <v>48.208329930895118</v>
      </c>
      <c r="CH136" s="802">
        <f t="shared" si="86"/>
        <v>48.297943486980998</v>
      </c>
      <c r="CI136" s="803">
        <f t="shared" si="86"/>
        <v>51.308374824000019</v>
      </c>
      <c r="CJ136" s="1478"/>
      <c r="CK136" s="1478"/>
      <c r="CL136" s="1478"/>
      <c r="CM136" s="1478"/>
      <c r="CN136" s="1478"/>
      <c r="CO136" s="1478"/>
      <c r="CP136" s="1478"/>
      <c r="CQ136" s="1478"/>
      <c r="CR136" s="1478"/>
      <c r="CS136" s="1478"/>
    </row>
    <row r="137" spans="2:97" x14ac:dyDescent="0.35">
      <c r="B137" s="822" t="s">
        <v>577</v>
      </c>
      <c r="C137" s="823" t="s">
        <v>356</v>
      </c>
      <c r="D137" s="824" t="s">
        <v>578</v>
      </c>
      <c r="E137" s="825" t="s">
        <v>305</v>
      </c>
      <c r="F137" s="826">
        <v>2</v>
      </c>
      <c r="G137" s="642">
        <f t="shared" ref="G137:L137" si="87">G47+G110</f>
        <v>18.811084109999999</v>
      </c>
      <c r="H137" s="642">
        <f t="shared" si="87"/>
        <v>17.561084109999999</v>
      </c>
      <c r="I137" s="642">
        <f t="shared" si="87"/>
        <v>16.572449890000001</v>
      </c>
      <c r="J137" s="642">
        <f t="shared" si="87"/>
        <v>15.595511370000001</v>
      </c>
      <c r="K137" s="642">
        <f t="shared" si="87"/>
        <v>14.65567714</v>
      </c>
      <c r="L137" s="642">
        <f t="shared" si="87"/>
        <v>14.31509426</v>
      </c>
      <c r="M137" s="802">
        <f t="shared" ref="M137:AR137" si="88">M47+M110</f>
        <v>13.218760211818179</v>
      </c>
      <c r="N137" s="802">
        <f t="shared" si="88"/>
        <v>12.100952833636361</v>
      </c>
      <c r="O137" s="802">
        <f t="shared" si="88"/>
        <v>10.981153775454539</v>
      </c>
      <c r="P137" s="802">
        <f t="shared" si="88"/>
        <v>9.8580422072727192</v>
      </c>
      <c r="Q137" s="802">
        <f t="shared" si="88"/>
        <v>8.7551905090908999</v>
      </c>
      <c r="R137" s="802">
        <f t="shared" si="88"/>
        <v>7.6289432709090779</v>
      </c>
      <c r="S137" s="802">
        <f t="shared" si="88"/>
        <v>6.5060458027272592</v>
      </c>
      <c r="T137" s="802">
        <f t="shared" si="88"/>
        <v>5.3872585945454396</v>
      </c>
      <c r="U137" s="802">
        <f t="shared" si="88"/>
        <v>4.2692224763636197</v>
      </c>
      <c r="V137" s="802">
        <f t="shared" si="88"/>
        <v>3.1512956381818018</v>
      </c>
      <c r="W137" s="802">
        <f t="shared" si="88"/>
        <v>2.0293027099999783</v>
      </c>
      <c r="X137" s="802">
        <f t="shared" si="88"/>
        <v>2.0376020999999795</v>
      </c>
      <c r="Y137" s="802">
        <f t="shared" si="88"/>
        <v>2.0475622599999799</v>
      </c>
      <c r="Z137" s="802">
        <f t="shared" si="88"/>
        <v>2.0518288499999784</v>
      </c>
      <c r="AA137" s="802">
        <f t="shared" si="88"/>
        <v>2.0588771529999796</v>
      </c>
      <c r="AB137" s="802">
        <f t="shared" si="88"/>
        <v>2.0665455689999792</v>
      </c>
      <c r="AC137" s="802">
        <f t="shared" si="88"/>
        <v>2.0737224879999783</v>
      </c>
      <c r="AD137" s="802">
        <f t="shared" si="88"/>
        <v>2.0809563649999792</v>
      </c>
      <c r="AE137" s="802">
        <f t="shared" si="88"/>
        <v>2.0870422399999793</v>
      </c>
      <c r="AF137" s="802">
        <f t="shared" si="88"/>
        <v>2.0922440229999797</v>
      </c>
      <c r="AG137" s="802">
        <f t="shared" si="88"/>
        <v>2.0979461029999786</v>
      </c>
      <c r="AH137" s="802">
        <f t="shared" si="88"/>
        <v>2.1040921909999799</v>
      </c>
      <c r="AI137" s="802">
        <f t="shared" si="88"/>
        <v>2.1096909199999789</v>
      </c>
      <c r="AJ137" s="802">
        <f t="shared" si="88"/>
        <v>2.1146717269999789</v>
      </c>
      <c r="AK137" s="802">
        <f t="shared" si="88"/>
        <v>2.1312640089999784</v>
      </c>
      <c r="AL137" s="802">
        <f t="shared" si="88"/>
        <v>2.1360126829999784</v>
      </c>
      <c r="AM137" s="802">
        <f t="shared" si="88"/>
        <v>2.1402785339999779</v>
      </c>
      <c r="AN137" s="802">
        <f t="shared" si="88"/>
        <v>2.1444038869999789</v>
      </c>
      <c r="AO137" s="802">
        <f t="shared" si="88"/>
        <v>2.1482320559999781</v>
      </c>
      <c r="AP137" s="802">
        <f t="shared" si="88"/>
        <v>2.1516854629999793</v>
      </c>
      <c r="AQ137" s="802">
        <f t="shared" si="88"/>
        <v>2.1557400649999794</v>
      </c>
      <c r="AR137" s="802">
        <f t="shared" si="88"/>
        <v>2.1600516539999788</v>
      </c>
      <c r="AS137" s="802">
        <f t="shared" ref="AS137:BX137" si="89">AS47+AS110</f>
        <v>2.1639442529999791</v>
      </c>
      <c r="AT137" s="802">
        <f t="shared" si="89"/>
        <v>2.1673930859999793</v>
      </c>
      <c r="AU137" s="802">
        <f t="shared" si="89"/>
        <v>2.1708493479999795</v>
      </c>
      <c r="AV137" s="802">
        <f t="shared" si="89"/>
        <v>2.1743525819999787</v>
      </c>
      <c r="AW137" s="802">
        <f t="shared" si="89"/>
        <v>2.1776340249999793</v>
      </c>
      <c r="AX137" s="802">
        <f t="shared" si="89"/>
        <v>2.1806571549999791</v>
      </c>
      <c r="AY137" s="802">
        <f t="shared" si="89"/>
        <v>2.1836416479999796</v>
      </c>
      <c r="AZ137" s="802">
        <f t="shared" si="89"/>
        <v>2.186600697999979</v>
      </c>
      <c r="BA137" s="802">
        <f t="shared" si="89"/>
        <v>2.1897681239999791</v>
      </c>
      <c r="BB137" s="802">
        <f t="shared" si="89"/>
        <v>2.1928683019999795</v>
      </c>
      <c r="BC137" s="802">
        <f t="shared" si="89"/>
        <v>2.1957513349999784</v>
      </c>
      <c r="BD137" s="802">
        <f t="shared" si="89"/>
        <v>2.1985510529999797</v>
      </c>
      <c r="BE137" s="802">
        <f t="shared" si="89"/>
        <v>2.2012708819999789</v>
      </c>
      <c r="BF137" s="802">
        <f t="shared" si="89"/>
        <v>2.2039887309999795</v>
      </c>
      <c r="BG137" s="802">
        <f t="shared" si="89"/>
        <v>2.2065784139999787</v>
      </c>
      <c r="BH137" s="802">
        <f t="shared" si="89"/>
        <v>2.2091936729999793</v>
      </c>
      <c r="BI137" s="802">
        <f t="shared" si="89"/>
        <v>2.2117984959999797</v>
      </c>
      <c r="BJ137" s="802">
        <f t="shared" si="89"/>
        <v>2.2141990019999787</v>
      </c>
      <c r="BK137" s="802">
        <f t="shared" si="89"/>
        <v>2.2167126749999797</v>
      </c>
      <c r="BL137" s="802">
        <f t="shared" si="89"/>
        <v>2.2190901019999787</v>
      </c>
      <c r="BM137" s="802">
        <f t="shared" si="89"/>
        <v>2.2212611859999791</v>
      </c>
      <c r="BN137" s="802">
        <f t="shared" si="89"/>
        <v>2.22342689699998</v>
      </c>
      <c r="BO137" s="802">
        <f t="shared" si="89"/>
        <v>2.2253672629999786</v>
      </c>
      <c r="BP137" s="802">
        <f t="shared" si="89"/>
        <v>2.2273401859999793</v>
      </c>
      <c r="BQ137" s="802">
        <f t="shared" si="89"/>
        <v>2.2292793059999787</v>
      </c>
      <c r="BR137" s="802">
        <f t="shared" si="89"/>
        <v>2.2312611779999787</v>
      </c>
      <c r="BS137" s="802">
        <f t="shared" si="89"/>
        <v>2.233143468999979</v>
      </c>
      <c r="BT137" s="802">
        <f t="shared" si="89"/>
        <v>2.2349315439999788</v>
      </c>
      <c r="BU137" s="802">
        <f t="shared" si="89"/>
        <v>2.2366931319999792</v>
      </c>
      <c r="BV137" s="802">
        <f t="shared" si="89"/>
        <v>2.2384552739999783</v>
      </c>
      <c r="BW137" s="802">
        <f t="shared" si="89"/>
        <v>2.2401208789999796</v>
      </c>
      <c r="BX137" s="802">
        <f t="shared" si="89"/>
        <v>2.241721539999979</v>
      </c>
      <c r="BY137" s="802">
        <f t="shared" ref="BY137:CI137" si="90">BY47+BY110</f>
        <v>2.243214061999979</v>
      </c>
      <c r="BZ137" s="802">
        <f t="shared" si="90"/>
        <v>2.2447864099999788</v>
      </c>
      <c r="CA137" s="802">
        <f t="shared" si="90"/>
        <v>2.2463275549999788</v>
      </c>
      <c r="CB137" s="802">
        <f t="shared" si="90"/>
        <v>2.2479348309999789</v>
      </c>
      <c r="CC137" s="802">
        <f t="shared" si="90"/>
        <v>2.2493833599999791</v>
      </c>
      <c r="CD137" s="802">
        <f t="shared" si="90"/>
        <v>2.250805741999979</v>
      </c>
      <c r="CE137" s="802">
        <f t="shared" si="90"/>
        <v>2.2522263719999791</v>
      </c>
      <c r="CF137" s="802">
        <f t="shared" si="90"/>
        <v>2.2537082779999786</v>
      </c>
      <c r="CG137" s="802">
        <f t="shared" si="90"/>
        <v>2.2551225179999785</v>
      </c>
      <c r="CH137" s="802">
        <f t="shared" si="90"/>
        <v>2.2564701279999788</v>
      </c>
      <c r="CI137" s="803">
        <f t="shared" si="90"/>
        <v>3.399999999999979</v>
      </c>
      <c r="CJ137" s="1478"/>
      <c r="CK137" s="1478"/>
      <c r="CL137" s="1478"/>
      <c r="CM137" s="1478"/>
      <c r="CN137" s="1478"/>
      <c r="CO137" s="1478"/>
      <c r="CP137" s="1478"/>
      <c r="CQ137" s="1478"/>
      <c r="CR137" s="1478"/>
      <c r="CS137" s="1478"/>
    </row>
    <row r="138" spans="2:97" ht="28" x14ac:dyDescent="0.35">
      <c r="B138" s="822" t="s">
        <v>579</v>
      </c>
      <c r="C138" s="823" t="s">
        <v>358</v>
      </c>
      <c r="D138" s="824" t="s">
        <v>357</v>
      </c>
      <c r="E138" s="825" t="s">
        <v>359</v>
      </c>
      <c r="F138" s="826">
        <v>1</v>
      </c>
      <c r="G138" s="827">
        <f t="shared" ref="G138:AL138" si="91">G48</f>
        <v>0</v>
      </c>
      <c r="H138" s="827">
        <f t="shared" si="91"/>
        <v>0</v>
      </c>
      <c r="I138" s="827">
        <f t="shared" si="91"/>
        <v>1E-3</v>
      </c>
      <c r="J138" s="827">
        <f t="shared" si="91"/>
        <v>1E-3</v>
      </c>
      <c r="K138" s="827">
        <f t="shared" si="91"/>
        <v>1E-3</v>
      </c>
      <c r="L138" s="827">
        <f t="shared" si="91"/>
        <v>1E-3</v>
      </c>
      <c r="M138" s="828">
        <f t="shared" si="91"/>
        <v>2E-3</v>
      </c>
      <c r="N138" s="828">
        <f t="shared" si="91"/>
        <v>2E-3</v>
      </c>
      <c r="O138" s="828">
        <f t="shared" si="91"/>
        <v>2E-3</v>
      </c>
      <c r="P138" s="828">
        <f t="shared" si="91"/>
        <v>2E-3</v>
      </c>
      <c r="Q138" s="828">
        <f t="shared" si="91"/>
        <v>3.0000000000000001E-3</v>
      </c>
      <c r="R138" s="828">
        <f t="shared" si="91"/>
        <v>3.0000000000000001E-3</v>
      </c>
      <c r="S138" s="828">
        <f t="shared" si="91"/>
        <v>3.0000000000000001E-3</v>
      </c>
      <c r="T138" s="828">
        <f t="shared" si="91"/>
        <v>3.0000000000000001E-3</v>
      </c>
      <c r="U138" s="828">
        <f t="shared" si="91"/>
        <v>4.0000000000000001E-3</v>
      </c>
      <c r="V138" s="828">
        <f t="shared" si="91"/>
        <v>4.0000000000000001E-3</v>
      </c>
      <c r="W138" s="828">
        <f t="shared" si="91"/>
        <v>4.0000000000000001E-3</v>
      </c>
      <c r="X138" s="828">
        <f t="shared" si="91"/>
        <v>5.0000000000000001E-3</v>
      </c>
      <c r="Y138" s="828">
        <f t="shared" si="91"/>
        <v>5.0000000000000001E-3</v>
      </c>
      <c r="Z138" s="828">
        <f t="shared" si="91"/>
        <v>5.0000000000000001E-3</v>
      </c>
      <c r="AA138" s="828">
        <f t="shared" si="91"/>
        <v>5.0000000000000001E-3</v>
      </c>
      <c r="AB138" s="828">
        <f t="shared" si="91"/>
        <v>6.0000000000000001E-3</v>
      </c>
      <c r="AC138" s="828">
        <f t="shared" si="91"/>
        <v>6.0000000000000001E-3</v>
      </c>
      <c r="AD138" s="828">
        <f t="shared" si="91"/>
        <v>6.0000000000000001E-3</v>
      </c>
      <c r="AE138" s="828">
        <f t="shared" si="91"/>
        <v>6.0000000000000001E-3</v>
      </c>
      <c r="AF138" s="828">
        <f t="shared" si="91"/>
        <v>7.0000000000000001E-3</v>
      </c>
      <c r="AG138" s="828">
        <f t="shared" si="91"/>
        <v>7.0000000000000001E-3</v>
      </c>
      <c r="AH138" s="828">
        <f t="shared" si="91"/>
        <v>7.0000000000000001E-3</v>
      </c>
      <c r="AI138" s="828">
        <f t="shared" si="91"/>
        <v>7.0000000000000001E-3</v>
      </c>
      <c r="AJ138" s="828">
        <f t="shared" si="91"/>
        <v>8.0000000000000002E-3</v>
      </c>
      <c r="AK138" s="828">
        <f t="shared" si="91"/>
        <v>8.0000000000000002E-3</v>
      </c>
      <c r="AL138" s="828">
        <f t="shared" si="91"/>
        <v>8.0000000000000002E-3</v>
      </c>
      <c r="AM138" s="828">
        <f t="shared" ref="AM138:BR138" si="92">AM48</f>
        <v>8.0000000000000002E-3</v>
      </c>
      <c r="AN138" s="828">
        <f t="shared" si="92"/>
        <v>8.9999999999999993E-3</v>
      </c>
      <c r="AO138" s="828">
        <f t="shared" si="92"/>
        <v>8.9999999999999993E-3</v>
      </c>
      <c r="AP138" s="828">
        <f t="shared" si="92"/>
        <v>8.9999999999999993E-3</v>
      </c>
      <c r="AQ138" s="828">
        <f t="shared" si="92"/>
        <v>0.01</v>
      </c>
      <c r="AR138" s="828">
        <f t="shared" si="92"/>
        <v>0.01</v>
      </c>
      <c r="AS138" s="828">
        <f t="shared" si="92"/>
        <v>0.01</v>
      </c>
      <c r="AT138" s="828">
        <f t="shared" si="92"/>
        <v>0.01</v>
      </c>
      <c r="AU138" s="828">
        <f t="shared" si="92"/>
        <v>1.0999999999999999E-2</v>
      </c>
      <c r="AV138" s="828">
        <f t="shared" si="92"/>
        <v>1.0999999999999999E-2</v>
      </c>
      <c r="AW138" s="828">
        <f t="shared" si="92"/>
        <v>1.0999999999999999E-2</v>
      </c>
      <c r="AX138" s="828">
        <f t="shared" si="92"/>
        <v>1.0999999999999999E-2</v>
      </c>
      <c r="AY138" s="828">
        <f t="shared" si="92"/>
        <v>1.2E-2</v>
      </c>
      <c r="AZ138" s="828">
        <f t="shared" si="92"/>
        <v>1.2E-2</v>
      </c>
      <c r="BA138" s="828">
        <f t="shared" si="92"/>
        <v>1.2E-2</v>
      </c>
      <c r="BB138" s="828">
        <f t="shared" si="92"/>
        <v>1.2E-2</v>
      </c>
      <c r="BC138" s="828">
        <f t="shared" si="92"/>
        <v>1.2999999999999999E-2</v>
      </c>
      <c r="BD138" s="828">
        <f t="shared" si="92"/>
        <v>1.2999999999999999E-2</v>
      </c>
      <c r="BE138" s="828">
        <f t="shared" si="92"/>
        <v>1.2999999999999999E-2</v>
      </c>
      <c r="BF138" s="828">
        <f t="shared" si="92"/>
        <v>1.2999999999999999E-2</v>
      </c>
      <c r="BG138" s="828">
        <f t="shared" si="92"/>
        <v>1.4E-2</v>
      </c>
      <c r="BH138" s="828">
        <f t="shared" si="92"/>
        <v>1.4E-2</v>
      </c>
      <c r="BI138" s="828">
        <f t="shared" si="92"/>
        <v>1.4E-2</v>
      </c>
      <c r="BJ138" s="828">
        <f t="shared" si="92"/>
        <v>1.4999999999999999E-2</v>
      </c>
      <c r="BK138" s="828">
        <f t="shared" si="92"/>
        <v>1.4999999999999999E-2</v>
      </c>
      <c r="BL138" s="828">
        <f t="shared" si="92"/>
        <v>1.4999999999999999E-2</v>
      </c>
      <c r="BM138" s="828">
        <f t="shared" si="92"/>
        <v>1.4999999999999999E-2</v>
      </c>
      <c r="BN138" s="828">
        <f t="shared" si="92"/>
        <v>1.6E-2</v>
      </c>
      <c r="BO138" s="828">
        <f t="shared" si="92"/>
        <v>1.6E-2</v>
      </c>
      <c r="BP138" s="828">
        <f t="shared" si="92"/>
        <v>1.6E-2</v>
      </c>
      <c r="BQ138" s="828">
        <f t="shared" si="92"/>
        <v>1.6E-2</v>
      </c>
      <c r="BR138" s="828">
        <f t="shared" si="92"/>
        <v>1.7000000000000001E-2</v>
      </c>
      <c r="BS138" s="828">
        <f t="shared" ref="BS138:CI138" si="93">BS48</f>
        <v>1.7000000000000001E-2</v>
      </c>
      <c r="BT138" s="828">
        <f t="shared" si="93"/>
        <v>1.7000000000000001E-2</v>
      </c>
      <c r="BU138" s="828">
        <f t="shared" si="93"/>
        <v>1.7000000000000001E-2</v>
      </c>
      <c r="BV138" s="828">
        <f t="shared" si="93"/>
        <v>1.7999999999999999E-2</v>
      </c>
      <c r="BW138" s="828">
        <f t="shared" si="93"/>
        <v>1.7999999999999999E-2</v>
      </c>
      <c r="BX138" s="828">
        <f t="shared" si="93"/>
        <v>1.7999999999999999E-2</v>
      </c>
      <c r="BY138" s="828">
        <f t="shared" si="93"/>
        <v>1.7999999999999999E-2</v>
      </c>
      <c r="BZ138" s="828">
        <f t="shared" si="93"/>
        <v>1.9E-2</v>
      </c>
      <c r="CA138" s="828">
        <f t="shared" si="93"/>
        <v>1.9E-2</v>
      </c>
      <c r="CB138" s="828">
        <f t="shared" si="93"/>
        <v>1.9E-2</v>
      </c>
      <c r="CC138" s="828">
        <f t="shared" si="93"/>
        <v>1.9E-2</v>
      </c>
      <c r="CD138" s="828">
        <f t="shared" si="93"/>
        <v>0.02</v>
      </c>
      <c r="CE138" s="828">
        <f t="shared" si="93"/>
        <v>0.02</v>
      </c>
      <c r="CF138" s="828">
        <f t="shared" si="93"/>
        <v>0.02</v>
      </c>
      <c r="CG138" s="828">
        <f t="shared" si="93"/>
        <v>0.02</v>
      </c>
      <c r="CH138" s="828">
        <f t="shared" si="93"/>
        <v>2.1000000000000001E-2</v>
      </c>
      <c r="CI138" s="829">
        <f t="shared" si="93"/>
        <v>2.1000000000000001E-2</v>
      </c>
      <c r="CJ138" s="1478"/>
      <c r="CK138" s="1478"/>
      <c r="CL138" s="1478"/>
      <c r="CM138" s="1478"/>
      <c r="CN138" s="1478"/>
      <c r="CO138" s="1478"/>
      <c r="CP138" s="1478"/>
      <c r="CQ138" s="1478"/>
      <c r="CR138" s="1478"/>
      <c r="CS138" s="1478"/>
    </row>
    <row r="139" spans="2:97" ht="28" x14ac:dyDescent="0.35">
      <c r="B139" s="822" t="s">
        <v>580</v>
      </c>
      <c r="C139" s="823" t="s">
        <v>361</v>
      </c>
      <c r="D139" s="824" t="s">
        <v>581</v>
      </c>
      <c r="E139" s="825" t="s">
        <v>305</v>
      </c>
      <c r="F139" s="826">
        <v>2</v>
      </c>
      <c r="G139" s="642">
        <f>G138*(G133+SUM(G135:G137)-SUM(G145:G148))</f>
        <v>0</v>
      </c>
      <c r="H139" s="642">
        <f t="shared" ref="H139" si="94">H138*(SUM(H133:H137)-SUM(H145:H148))</f>
        <v>0</v>
      </c>
      <c r="I139" s="642">
        <f t="shared" ref="I139" si="95">I138*(SUM(I133:I137)-SUM(I145:I148))</f>
        <v>7.1229863059999995E-2</v>
      </c>
      <c r="J139" s="642">
        <f t="shared" ref="J139:BU139" si="96">J138*(SUM(J133:J137)-SUM(J145:J148))</f>
        <v>7.1149520670000008E-2</v>
      </c>
      <c r="K139" s="642">
        <f t="shared" si="96"/>
        <v>7.1260098790000004E-2</v>
      </c>
      <c r="L139" s="642">
        <f t="shared" si="96"/>
        <v>7.3029777060000009E-2</v>
      </c>
      <c r="M139" s="642">
        <f t="shared" si="96"/>
        <v>0.14704424233999999</v>
      </c>
      <c r="N139" s="642">
        <f t="shared" si="96"/>
        <v>0.14835852449999998</v>
      </c>
      <c r="O139" s="642">
        <f t="shared" si="96"/>
        <v>0.1496232549</v>
      </c>
      <c r="P139" s="642">
        <f t="shared" si="96"/>
        <v>0.15059905278000002</v>
      </c>
      <c r="Q139" s="642">
        <f t="shared" si="96"/>
        <v>0.22650010550120497</v>
      </c>
      <c r="R139" s="642">
        <f t="shared" si="96"/>
        <v>0.22722251939435309</v>
      </c>
      <c r="S139" s="642">
        <f t="shared" si="96"/>
        <v>0.22746302063826934</v>
      </c>
      <c r="T139" s="642">
        <f t="shared" si="96"/>
        <v>0.22762345282233906</v>
      </c>
      <c r="U139" s="642">
        <f t="shared" si="96"/>
        <v>0.30394025408179265</v>
      </c>
      <c r="V139" s="642">
        <f t="shared" si="96"/>
        <v>0.30395124518680611</v>
      </c>
      <c r="W139" s="642">
        <f t="shared" si="96"/>
        <v>0.3054073604330122</v>
      </c>
      <c r="X139" s="642">
        <f t="shared" si="96"/>
        <v>0.38346884922231089</v>
      </c>
      <c r="Y139" s="642">
        <f t="shared" si="96"/>
        <v>0.3851291211451961</v>
      </c>
      <c r="Z139" s="642">
        <f t="shared" si="96"/>
        <v>0.38646860235833613</v>
      </c>
      <c r="AA139" s="642">
        <f t="shared" si="96"/>
        <v>0.38604382479647698</v>
      </c>
      <c r="AB139" s="642">
        <f t="shared" si="96"/>
        <v>0.46266777448994023</v>
      </c>
      <c r="AC139" s="642">
        <f t="shared" si="96"/>
        <v>0.46200426139067491</v>
      </c>
      <c r="AD139" s="642">
        <f t="shared" si="96"/>
        <v>0.46128685427320026</v>
      </c>
      <c r="AE139" s="642">
        <f t="shared" si="96"/>
        <v>0.46046215853588884</v>
      </c>
      <c r="AF139" s="642">
        <f t="shared" si="96"/>
        <v>0.53608754754758514</v>
      </c>
      <c r="AG139" s="642">
        <f t="shared" si="96"/>
        <v>0.53667138845402695</v>
      </c>
      <c r="AH139" s="642">
        <f t="shared" si="96"/>
        <v>0.53720191402181916</v>
      </c>
      <c r="AI139" s="642">
        <f t="shared" si="96"/>
        <v>0.53764822113897048</v>
      </c>
      <c r="AJ139" s="642">
        <f t="shared" si="96"/>
        <v>0.6148362375293619</v>
      </c>
      <c r="AK139" s="642">
        <f t="shared" si="96"/>
        <v>0.61468443671902451</v>
      </c>
      <c r="AL139" s="642">
        <f t="shared" si="96"/>
        <v>0.61469062231113347</v>
      </c>
      <c r="AM139" s="642">
        <f t="shared" si="96"/>
        <v>0.61469238921451752</v>
      </c>
      <c r="AN139" s="642">
        <f t="shared" si="96"/>
        <v>0.69150626897462542</v>
      </c>
      <c r="AO139" s="642">
        <f t="shared" si="96"/>
        <v>0.69248331182963818</v>
      </c>
      <c r="AP139" s="642">
        <f t="shared" si="96"/>
        <v>0.69346263104527894</v>
      </c>
      <c r="AQ139" s="642">
        <f t="shared" si="96"/>
        <v>0.77160548461527034</v>
      </c>
      <c r="AR139" s="642">
        <f t="shared" si="96"/>
        <v>0.77263821146733436</v>
      </c>
      <c r="AS139" s="642">
        <f t="shared" si="96"/>
        <v>0.77362702572680919</v>
      </c>
      <c r="AT139" s="642">
        <f t="shared" si="96"/>
        <v>0.77462044734355329</v>
      </c>
      <c r="AU139" s="642">
        <f t="shared" si="96"/>
        <v>0.85314975325715359</v>
      </c>
      <c r="AV139" s="642">
        <f t="shared" si="96"/>
        <v>0.85420731502237446</v>
      </c>
      <c r="AW139" s="642">
        <f t="shared" si="96"/>
        <v>0.85527044336152924</v>
      </c>
      <c r="AX139" s="642">
        <f t="shared" si="96"/>
        <v>0.85633559198345344</v>
      </c>
      <c r="AY139" s="642">
        <f t="shared" si="96"/>
        <v>0.9353723192144906</v>
      </c>
      <c r="AZ139" s="642">
        <f t="shared" si="96"/>
        <v>0.93658775446958764</v>
      </c>
      <c r="BA139" s="642">
        <f t="shared" si="96"/>
        <v>0.93782687451338076</v>
      </c>
      <c r="BB139" s="642">
        <f t="shared" si="96"/>
        <v>0.9390662986991597</v>
      </c>
      <c r="BC139" s="642">
        <f t="shared" si="96"/>
        <v>1.0186977175174086</v>
      </c>
      <c r="BD139" s="642">
        <f t="shared" si="96"/>
        <v>1.0200953290171517</v>
      </c>
      <c r="BE139" s="642">
        <f t="shared" si="96"/>
        <v>1.0215207406336719</v>
      </c>
      <c r="BF139" s="642">
        <f t="shared" si="96"/>
        <v>1.0230001395156061</v>
      </c>
      <c r="BG139" s="642">
        <f t="shared" si="96"/>
        <v>1.1033331734262939</v>
      </c>
      <c r="BH139" s="642">
        <f t="shared" si="96"/>
        <v>1.1050265613968819</v>
      </c>
      <c r="BI139" s="642">
        <f t="shared" si="96"/>
        <v>1.106750759411151</v>
      </c>
      <c r="BJ139" s="642">
        <f t="shared" si="96"/>
        <v>1.1876934982197997</v>
      </c>
      <c r="BK139" s="642">
        <f t="shared" si="96"/>
        <v>1.1896229680453307</v>
      </c>
      <c r="BL139" s="642">
        <f t="shared" si="96"/>
        <v>1.191604314838548</v>
      </c>
      <c r="BM139" s="642">
        <f t="shared" si="96"/>
        <v>1.1936560621679377</v>
      </c>
      <c r="BN139" s="642">
        <f t="shared" si="96"/>
        <v>1.2754863624920671</v>
      </c>
      <c r="BO139" s="642">
        <f t="shared" si="96"/>
        <v>1.2778251072004305</v>
      </c>
      <c r="BP139" s="642">
        <f t="shared" si="96"/>
        <v>1.2802363217931561</v>
      </c>
      <c r="BQ139" s="642">
        <f t="shared" si="96"/>
        <v>1.2827195640717923</v>
      </c>
      <c r="BR139" s="642">
        <f t="shared" si="96"/>
        <v>1.3655626013082092</v>
      </c>
      <c r="BS139" s="642">
        <f t="shared" si="96"/>
        <v>1.3682855091136839</v>
      </c>
      <c r="BT139" s="642">
        <f t="shared" si="96"/>
        <v>1.3710514179654114</v>
      </c>
      <c r="BU139" s="642">
        <f t="shared" si="96"/>
        <v>1.3738733834905139</v>
      </c>
      <c r="BV139" s="642">
        <f t="shared" ref="BV139:CI139" si="97">BV138*(SUM(BV133:BV137)-SUM(BV145:BV148))</f>
        <v>1.4576884761238547</v>
      </c>
      <c r="BW139" s="642">
        <f t="shared" si="97"/>
        <v>1.4607216988759908</v>
      </c>
      <c r="BX139" s="642">
        <f t="shared" si="97"/>
        <v>1.463785298393345</v>
      </c>
      <c r="BY139" s="642">
        <f t="shared" si="97"/>
        <v>1.4668883890993163</v>
      </c>
      <c r="BZ139" s="642">
        <f t="shared" si="97"/>
        <v>1.5516757423476222</v>
      </c>
      <c r="CA139" s="642">
        <f t="shared" si="97"/>
        <v>1.5549901056058644</v>
      </c>
      <c r="CB139" s="642">
        <f t="shared" si="97"/>
        <v>1.5582888279861298</v>
      </c>
      <c r="CC139" s="642">
        <f t="shared" si="97"/>
        <v>1.5615993362414107</v>
      </c>
      <c r="CD139" s="642">
        <f t="shared" si="97"/>
        <v>1.6472578879501831</v>
      </c>
      <c r="CE139" s="642">
        <f t="shared" si="97"/>
        <v>1.6507128542786</v>
      </c>
      <c r="CF139" s="642">
        <f t="shared" si="97"/>
        <v>1.6541348087843455</v>
      </c>
      <c r="CG139" s="642">
        <f t="shared" si="97"/>
        <v>1.6575323488379019</v>
      </c>
      <c r="CH139" s="642">
        <f t="shared" si="97"/>
        <v>1.7423191507676004</v>
      </c>
      <c r="CI139" s="642">
        <f t="shared" si="97"/>
        <v>1.8295523361570001</v>
      </c>
      <c r="CJ139" s="1478"/>
      <c r="CK139" s="1478"/>
      <c r="CL139" s="1478"/>
      <c r="CM139" s="1478"/>
      <c r="CN139" s="1478"/>
      <c r="CO139" s="1478"/>
      <c r="CP139" s="1478"/>
      <c r="CQ139" s="1478"/>
      <c r="CR139" s="1478"/>
      <c r="CS139" s="1478"/>
    </row>
    <row r="140" spans="2:97" x14ac:dyDescent="0.35">
      <c r="B140" s="822" t="s">
        <v>582</v>
      </c>
      <c r="C140" s="830" t="s">
        <v>364</v>
      </c>
      <c r="D140" s="831" t="s">
        <v>583</v>
      </c>
      <c r="E140" s="832" t="s">
        <v>366</v>
      </c>
      <c r="F140" s="833">
        <v>1</v>
      </c>
      <c r="G140" s="834">
        <f>(((G136-G147))*1000000)/((G169)*1000)</f>
        <v>147.32320752916601</v>
      </c>
      <c r="H140" s="834">
        <f t="shared" ref="H140:BS141" si="98">(((H136-H147))*1000000)/((H169)*1000)</f>
        <v>132.1450184492991</v>
      </c>
      <c r="I140" s="834">
        <f t="shared" si="98"/>
        <v>127.95334107069883</v>
      </c>
      <c r="J140" s="834">
        <f t="shared" si="98"/>
        <v>121.93533542865461</v>
      </c>
      <c r="K140" s="834">
        <f t="shared" si="98"/>
        <v>116.9425718645527</v>
      </c>
      <c r="L140" s="834">
        <f t="shared" si="98"/>
        <v>117.18809407928293</v>
      </c>
      <c r="M140" s="835">
        <f t="shared" si="98"/>
        <v>115.39031713473149</v>
      </c>
      <c r="N140" s="835">
        <f t="shared" si="98"/>
        <v>115.03999879252231</v>
      </c>
      <c r="O140" s="835">
        <f t="shared" si="98"/>
        <v>114.25224068651316</v>
      </c>
      <c r="P140" s="835">
        <f t="shared" si="98"/>
        <v>113.36652958129784</v>
      </c>
      <c r="Q140" s="835">
        <f t="shared" si="98"/>
        <v>112.10848151030098</v>
      </c>
      <c r="R140" s="835">
        <f t="shared" si="98"/>
        <v>110.81780607620635</v>
      </c>
      <c r="S140" s="835">
        <f t="shared" si="98"/>
        <v>109.68457006004218</v>
      </c>
      <c r="T140" s="835">
        <f t="shared" si="98"/>
        <v>108.89659630841786</v>
      </c>
      <c r="U140" s="835">
        <f t="shared" si="98"/>
        <v>108.1410912871352</v>
      </c>
      <c r="V140" s="835">
        <f t="shared" si="98"/>
        <v>107.28625583574362</v>
      </c>
      <c r="W140" s="835">
        <f t="shared" si="98"/>
        <v>106.7947725386305</v>
      </c>
      <c r="X140" s="835">
        <f t="shared" si="98"/>
        <v>105.71101245689245</v>
      </c>
      <c r="Y140" s="835">
        <f t="shared" si="98"/>
        <v>104.7262925569007</v>
      </c>
      <c r="Z140" s="835">
        <f t="shared" si="98"/>
        <v>103.64991034231052</v>
      </c>
      <c r="AA140" s="835">
        <f t="shared" si="98"/>
        <v>102.66499249978011</v>
      </c>
      <c r="AB140" s="835">
        <f t="shared" si="98"/>
        <v>101.6556801461608</v>
      </c>
      <c r="AC140" s="835">
        <f t="shared" si="98"/>
        <v>100.64105478628744</v>
      </c>
      <c r="AD140" s="835">
        <f t="shared" si="98"/>
        <v>99.632801508076867</v>
      </c>
      <c r="AE140" s="835">
        <f t="shared" si="98"/>
        <v>98.601907201842081</v>
      </c>
      <c r="AF140" s="835">
        <f t="shared" si="98"/>
        <v>97.562820320870756</v>
      </c>
      <c r="AG140" s="835">
        <f t="shared" si="98"/>
        <v>97.126098207829187</v>
      </c>
      <c r="AH140" s="835">
        <f t="shared" si="98"/>
        <v>96.706201672130419</v>
      </c>
      <c r="AI140" s="835">
        <f t="shared" si="98"/>
        <v>96.274103539468058</v>
      </c>
      <c r="AJ140" s="835">
        <f t="shared" si="98"/>
        <v>95.832093135956626</v>
      </c>
      <c r="AK140" s="835">
        <f t="shared" si="98"/>
        <v>95.254451167663404</v>
      </c>
      <c r="AL140" s="835">
        <f t="shared" si="98"/>
        <v>94.984820045305881</v>
      </c>
      <c r="AM140" s="835">
        <f t="shared" si="98"/>
        <v>94.718915807271316</v>
      </c>
      <c r="AN140" s="835">
        <f t="shared" si="98"/>
        <v>94.450194847212686</v>
      </c>
      <c r="AO140" s="835">
        <f t="shared" si="98"/>
        <v>94.43437378504855</v>
      </c>
      <c r="AP140" s="835">
        <f t="shared" si="98"/>
        <v>94.421730328885786</v>
      </c>
      <c r="AQ140" s="835">
        <f t="shared" si="98"/>
        <v>94.416006850341077</v>
      </c>
      <c r="AR140" s="835">
        <f t="shared" si="98"/>
        <v>94.396059327708869</v>
      </c>
      <c r="AS140" s="835">
        <f t="shared" si="98"/>
        <v>94.371902303432051</v>
      </c>
      <c r="AT140" s="835">
        <f t="shared" si="98"/>
        <v>94.355966879838803</v>
      </c>
      <c r="AU140" s="835">
        <f t="shared" si="98"/>
        <v>94.337378666627899</v>
      </c>
      <c r="AV140" s="835">
        <f t="shared" si="98"/>
        <v>94.32241302603488</v>
      </c>
      <c r="AW140" s="835">
        <f t="shared" si="98"/>
        <v>94.310545156553331</v>
      </c>
      <c r="AX140" s="835">
        <f t="shared" si="98"/>
        <v>94.301824438519233</v>
      </c>
      <c r="AY140" s="835">
        <f t="shared" si="98"/>
        <v>94.303367008277348</v>
      </c>
      <c r="AZ140" s="835">
        <f t="shared" si="98"/>
        <v>94.311753493414471</v>
      </c>
      <c r="BA140" s="835">
        <f t="shared" si="98"/>
        <v>94.324563086791187</v>
      </c>
      <c r="BB140" s="835">
        <f t="shared" si="98"/>
        <v>94.334085295247363</v>
      </c>
      <c r="BC140" s="835">
        <f t="shared" si="98"/>
        <v>94.348854067573782</v>
      </c>
      <c r="BD140" s="835">
        <f t="shared" si="98"/>
        <v>94.364698137211633</v>
      </c>
      <c r="BE140" s="835">
        <f t="shared" si="98"/>
        <v>94.384116609058793</v>
      </c>
      <c r="BF140" s="835">
        <f t="shared" si="98"/>
        <v>94.410798250235274</v>
      </c>
      <c r="BG140" s="835">
        <f t="shared" si="98"/>
        <v>94.438619474472105</v>
      </c>
      <c r="BH140" s="835">
        <f t="shared" si="98"/>
        <v>94.469931735867988</v>
      </c>
      <c r="BI140" s="835">
        <f t="shared" si="98"/>
        <v>94.499224004038339</v>
      </c>
      <c r="BJ140" s="835">
        <f t="shared" si="98"/>
        <v>94.529527124021996</v>
      </c>
      <c r="BK140" s="835">
        <f t="shared" si="98"/>
        <v>94.561611232771455</v>
      </c>
      <c r="BL140" s="835">
        <f t="shared" si="98"/>
        <v>94.594526532803627</v>
      </c>
      <c r="BM140" s="835">
        <f t="shared" si="98"/>
        <v>94.63080477155124</v>
      </c>
      <c r="BN140" s="835">
        <f t="shared" si="98"/>
        <v>94.669359224158896</v>
      </c>
      <c r="BO140" s="835">
        <f t="shared" si="98"/>
        <v>94.713629098452245</v>
      </c>
      <c r="BP140" s="835">
        <f t="shared" si="98"/>
        <v>94.762713560299261</v>
      </c>
      <c r="BQ140" s="835">
        <f t="shared" si="98"/>
        <v>94.816522906215525</v>
      </c>
      <c r="BR140" s="835">
        <f t="shared" si="98"/>
        <v>94.869261701116045</v>
      </c>
      <c r="BS140" s="835">
        <f t="shared" si="98"/>
        <v>94.925260661801047</v>
      </c>
      <c r="BT140" s="835">
        <f t="shared" ref="BT140:CI141" si="99">(((BT136-BT147))*1000000)/((BT169)*1000)</f>
        <v>94.983412476644915</v>
      </c>
      <c r="BU140" s="835">
        <f t="shared" si="99"/>
        <v>95.046995615529568</v>
      </c>
      <c r="BV140" s="835">
        <f t="shared" si="99"/>
        <v>95.108606447607045</v>
      </c>
      <c r="BW140" s="835">
        <f t="shared" si="99"/>
        <v>95.174514881823939</v>
      </c>
      <c r="BX140" s="835">
        <f t="shared" si="99"/>
        <v>95.243620375838347</v>
      </c>
      <c r="BY140" s="835">
        <f t="shared" si="99"/>
        <v>95.318028679010666</v>
      </c>
      <c r="BZ140" s="835">
        <f t="shared" si="99"/>
        <v>95.395752675848698</v>
      </c>
      <c r="CA140" s="835">
        <f t="shared" si="99"/>
        <v>95.476457910050513</v>
      </c>
      <c r="CB140" s="835">
        <f t="shared" si="99"/>
        <v>95.555285958455286</v>
      </c>
      <c r="CC140" s="835">
        <f t="shared" si="99"/>
        <v>95.636000722087488</v>
      </c>
      <c r="CD140" s="835">
        <f t="shared" si="99"/>
        <v>95.716228915683146</v>
      </c>
      <c r="CE140" s="835">
        <f t="shared" si="99"/>
        <v>95.798214251790867</v>
      </c>
      <c r="CF140" s="835">
        <f t="shared" si="99"/>
        <v>95.878868749027902</v>
      </c>
      <c r="CG140" s="835">
        <f t="shared" si="99"/>
        <v>95.957871415820307</v>
      </c>
      <c r="CH140" s="835">
        <f t="shared" si="99"/>
        <v>96.033623233257757</v>
      </c>
      <c r="CI140" s="836">
        <f t="shared" si="99"/>
        <v>102.29596713358028</v>
      </c>
      <c r="CJ140" s="1478"/>
      <c r="CK140" s="1478"/>
      <c r="CL140" s="1478"/>
      <c r="CM140" s="1478"/>
      <c r="CN140" s="1478"/>
      <c r="CO140" s="1478"/>
      <c r="CP140" s="1478"/>
      <c r="CQ140" s="1478"/>
      <c r="CR140" s="1478"/>
      <c r="CS140" s="1478"/>
    </row>
    <row r="141" spans="2:97" x14ac:dyDescent="0.35">
      <c r="B141" s="822" t="s">
        <v>584</v>
      </c>
      <c r="C141" s="830" t="s">
        <v>368</v>
      </c>
      <c r="D141" s="831" t="s">
        <v>585</v>
      </c>
      <c r="E141" s="832" t="s">
        <v>366</v>
      </c>
      <c r="F141" s="833">
        <v>1</v>
      </c>
      <c r="G141" s="834">
        <f>(((G137-G148))*1000000)/((G170)*1000)</f>
        <v>181.55916139653203</v>
      </c>
      <c r="H141" s="834">
        <f t="shared" si="98"/>
        <v>171.81302990333134</v>
      </c>
      <c r="I141" s="834">
        <f t="shared" si="98"/>
        <v>160.66355796866674</v>
      </c>
      <c r="J141" s="834">
        <f t="shared" si="98"/>
        <v>152.43123924245481</v>
      </c>
      <c r="K141" s="834">
        <f t="shared" si="98"/>
        <v>144.92814179324827</v>
      </c>
      <c r="L141" s="834">
        <f t="shared" si="98"/>
        <v>143.71749957099649</v>
      </c>
      <c r="M141" s="835">
        <f t="shared" si="98"/>
        <v>145.16491999582928</v>
      </c>
      <c r="N141" s="835">
        <f t="shared" si="98"/>
        <v>146.63422498787341</v>
      </c>
      <c r="O141" s="835">
        <f t="shared" si="98"/>
        <v>148.42270148174748</v>
      </c>
      <c r="P141" s="835">
        <f t="shared" si="98"/>
        <v>150.63702503330722</v>
      </c>
      <c r="Q141" s="835">
        <f t="shared" si="98"/>
        <v>153.93532134086047</v>
      </c>
      <c r="R141" s="835">
        <f t="shared" si="98"/>
        <v>157.90954180570958</v>
      </c>
      <c r="S141" s="835">
        <f t="shared" si="98"/>
        <v>163.77450390034704</v>
      </c>
      <c r="T141" s="835">
        <f t="shared" si="98"/>
        <v>173.21379001106737</v>
      </c>
      <c r="U141" s="835">
        <f t="shared" si="98"/>
        <v>190.4745880915587</v>
      </c>
      <c r="V141" s="835">
        <f t="shared" si="98"/>
        <v>231.95883381058192</v>
      </c>
      <c r="W141" s="835">
        <f t="shared" si="98"/>
        <v>446.85373823528334</v>
      </c>
      <c r="X141" s="835">
        <f t="shared" si="98"/>
        <v>449.29473529411172</v>
      </c>
      <c r="Y141" s="835">
        <f t="shared" si="98"/>
        <v>452.22419411764116</v>
      </c>
      <c r="Z141" s="835">
        <f t="shared" si="98"/>
        <v>453.47907352940547</v>
      </c>
      <c r="AA141" s="835">
        <f t="shared" si="98"/>
        <v>455.55210382352351</v>
      </c>
      <c r="AB141" s="835">
        <f t="shared" si="98"/>
        <v>457.80752029411161</v>
      </c>
      <c r="AC141" s="835">
        <f t="shared" si="98"/>
        <v>459.91837882352308</v>
      </c>
      <c r="AD141" s="835">
        <f t="shared" si="98"/>
        <v>462.04598970587625</v>
      </c>
      <c r="AE141" s="835">
        <f t="shared" si="98"/>
        <v>463.83595294117043</v>
      </c>
      <c r="AF141" s="835">
        <f t="shared" si="98"/>
        <v>465.36588911764113</v>
      </c>
      <c r="AG141" s="835">
        <f t="shared" si="98"/>
        <v>467.04297147058202</v>
      </c>
      <c r="AH141" s="835">
        <f t="shared" si="98"/>
        <v>468.85064441175882</v>
      </c>
      <c r="AI141" s="835">
        <f t="shared" si="98"/>
        <v>470.49732941175859</v>
      </c>
      <c r="AJ141" s="835">
        <f t="shared" si="98"/>
        <v>471.96227264705266</v>
      </c>
      <c r="AK141" s="835">
        <f t="shared" si="98"/>
        <v>476.842355588229</v>
      </c>
      <c r="AL141" s="835">
        <f t="shared" si="98"/>
        <v>478.23902441175841</v>
      </c>
      <c r="AM141" s="835">
        <f t="shared" si="98"/>
        <v>479.49368647058179</v>
      </c>
      <c r="AN141" s="835">
        <f t="shared" si="98"/>
        <v>480.70702558822916</v>
      </c>
      <c r="AO141" s="835">
        <f t="shared" si="98"/>
        <v>481.83295764705247</v>
      </c>
      <c r="AP141" s="835">
        <f t="shared" si="98"/>
        <v>482.84866558822927</v>
      </c>
      <c r="AQ141" s="835">
        <f t="shared" si="98"/>
        <v>484.0411955882293</v>
      </c>
      <c r="AR141" s="835">
        <f t="shared" si="98"/>
        <v>485.30930999999379</v>
      </c>
      <c r="AS141" s="835">
        <f t="shared" si="98"/>
        <v>486.45419205881745</v>
      </c>
      <c r="AT141" s="835">
        <f t="shared" si="98"/>
        <v>487.46855470587627</v>
      </c>
      <c r="AU141" s="835">
        <f t="shared" si="98"/>
        <v>488.4851023529352</v>
      </c>
      <c r="AV141" s="835">
        <f t="shared" si="98"/>
        <v>489.51546529411149</v>
      </c>
      <c r="AW141" s="835">
        <f t="shared" si="98"/>
        <v>490.48059558822922</v>
      </c>
      <c r="AX141" s="835">
        <f t="shared" si="98"/>
        <v>491.36975147058217</v>
      </c>
      <c r="AY141" s="835">
        <f t="shared" si="98"/>
        <v>492.24754352940585</v>
      </c>
      <c r="AZ141" s="835">
        <f t="shared" si="98"/>
        <v>493.11785235293502</v>
      </c>
      <c r="BA141" s="835">
        <f t="shared" si="98"/>
        <v>494.04944823528803</v>
      </c>
      <c r="BB141" s="835">
        <f t="shared" si="98"/>
        <v>494.96126529411168</v>
      </c>
      <c r="BC141" s="835">
        <f t="shared" si="98"/>
        <v>495.8092161764643</v>
      </c>
      <c r="BD141" s="835">
        <f t="shared" si="98"/>
        <v>496.63266264705288</v>
      </c>
      <c r="BE141" s="835">
        <f t="shared" si="98"/>
        <v>497.432612352935</v>
      </c>
      <c r="BF141" s="835">
        <f t="shared" si="98"/>
        <v>498.23197970587637</v>
      </c>
      <c r="BG141" s="835">
        <f t="shared" si="98"/>
        <v>498.99365117646437</v>
      </c>
      <c r="BH141" s="835">
        <f t="shared" si="98"/>
        <v>499.76284499999394</v>
      </c>
      <c r="BI141" s="835">
        <f t="shared" si="98"/>
        <v>500.52896941175874</v>
      </c>
      <c r="BJ141" s="835">
        <f t="shared" si="98"/>
        <v>501.23500058822907</v>
      </c>
      <c r="BK141" s="835">
        <f t="shared" si="98"/>
        <v>501.9743161764647</v>
      </c>
      <c r="BL141" s="835">
        <f t="shared" si="98"/>
        <v>502.6735594117585</v>
      </c>
      <c r="BM141" s="835">
        <f t="shared" si="98"/>
        <v>503.31211352940568</v>
      </c>
      <c r="BN141" s="835">
        <f t="shared" si="98"/>
        <v>503.94908735293529</v>
      </c>
      <c r="BO141" s="835">
        <f t="shared" si="98"/>
        <v>504.51978323528789</v>
      </c>
      <c r="BP141" s="835">
        <f t="shared" si="98"/>
        <v>505.10005470587635</v>
      </c>
      <c r="BQ141" s="835">
        <f t="shared" si="98"/>
        <v>505.67038411764088</v>
      </c>
      <c r="BR141" s="835">
        <f t="shared" si="98"/>
        <v>506.25328764705262</v>
      </c>
      <c r="BS141" s="835">
        <f t="shared" si="98"/>
        <v>506.80690264705265</v>
      </c>
      <c r="BT141" s="835">
        <f t="shared" si="99"/>
        <v>507.33280705881737</v>
      </c>
      <c r="BU141" s="835">
        <f t="shared" si="99"/>
        <v>507.85092117646457</v>
      </c>
      <c r="BV141" s="835">
        <f t="shared" si="99"/>
        <v>508.3691982352878</v>
      </c>
      <c r="BW141" s="835">
        <f t="shared" si="99"/>
        <v>508.85908205881753</v>
      </c>
      <c r="BX141" s="835">
        <f t="shared" si="99"/>
        <v>509.32986470587628</v>
      </c>
      <c r="BY141" s="835">
        <f t="shared" si="99"/>
        <v>509.76884176469974</v>
      </c>
      <c r="BZ141" s="835">
        <f t="shared" si="99"/>
        <v>510.23129705881735</v>
      </c>
      <c r="CA141" s="835">
        <f t="shared" si="99"/>
        <v>510.6845749999938</v>
      </c>
      <c r="CB141" s="835">
        <f t="shared" si="99"/>
        <v>511.15730323528794</v>
      </c>
      <c r="CC141" s="835">
        <f t="shared" si="99"/>
        <v>511.5833411764645</v>
      </c>
      <c r="CD141" s="835">
        <f t="shared" si="99"/>
        <v>512.0016888235233</v>
      </c>
      <c r="CE141" s="835">
        <f t="shared" si="99"/>
        <v>512.41952117646451</v>
      </c>
      <c r="CF141" s="835">
        <f t="shared" si="99"/>
        <v>512.85537588234672</v>
      </c>
      <c r="CG141" s="835">
        <f t="shared" si="99"/>
        <v>513.27132882352316</v>
      </c>
      <c r="CH141" s="835">
        <f t="shared" si="99"/>
        <v>513.66768470587624</v>
      </c>
      <c r="CI141" s="835">
        <f t="shared" si="99"/>
        <v>849.99999999999386</v>
      </c>
      <c r="CJ141" s="1478"/>
      <c r="CK141" s="1478"/>
      <c r="CL141" s="1478"/>
      <c r="CM141" s="1478"/>
      <c r="CN141" s="1478"/>
      <c r="CO141" s="1478"/>
      <c r="CP141" s="1478"/>
      <c r="CQ141" s="1478"/>
      <c r="CR141" s="1478"/>
      <c r="CS141" s="1478"/>
    </row>
    <row r="142" spans="2:97" ht="28" x14ac:dyDescent="0.35">
      <c r="B142" s="822" t="s">
        <v>586</v>
      </c>
      <c r="C142" s="830" t="s">
        <v>371</v>
      </c>
      <c r="D142" s="831" t="s">
        <v>587</v>
      </c>
      <c r="E142" s="832" t="s">
        <v>366</v>
      </c>
      <c r="F142" s="833">
        <v>1</v>
      </c>
      <c r="G142" s="834">
        <f>(((G136-G147)+(G137-G148))*1000000)/((G169+G170)*1000)</f>
        <v>157.45232109279306</v>
      </c>
      <c r="H142" s="834">
        <f t="shared" ref="H142:BS142" si="100">(((H136-H147)+(H137-H148))*1000000)/((H169+H170)*1000)</f>
        <v>143.50899656602431</v>
      </c>
      <c r="I142" s="834">
        <f t="shared" si="100"/>
        <v>137.14817351732324</v>
      </c>
      <c r="J142" s="834">
        <f t="shared" si="100"/>
        <v>130.16298854946021</v>
      </c>
      <c r="K142" s="834">
        <f t="shared" si="100"/>
        <v>124.20933472963576</v>
      </c>
      <c r="L142" s="834">
        <f t="shared" si="100"/>
        <v>123.81872143538924</v>
      </c>
      <c r="M142" s="835">
        <f t="shared" si="100"/>
        <v>122.03689888381325</v>
      </c>
      <c r="N142" s="835">
        <f t="shared" si="100"/>
        <v>121.31519060729687</v>
      </c>
      <c r="O142" s="835">
        <f t="shared" si="100"/>
        <v>120.20673337107058</v>
      </c>
      <c r="P142" s="835">
        <f t="shared" si="100"/>
        <v>118.99020622497306</v>
      </c>
      <c r="Q142" s="835">
        <f t="shared" si="100"/>
        <v>117.48852169496138</v>
      </c>
      <c r="R142" s="835">
        <f t="shared" si="100"/>
        <v>115.8602453366708</v>
      </c>
      <c r="S142" s="835">
        <f t="shared" si="100"/>
        <v>114.35736874437667</v>
      </c>
      <c r="T142" s="835">
        <f t="shared" si="100"/>
        <v>113.16081310762858</v>
      </c>
      <c r="U142" s="835">
        <f t="shared" si="100"/>
        <v>111.97249433627171</v>
      </c>
      <c r="V142" s="835">
        <f t="shared" si="100"/>
        <v>110.66523664478555</v>
      </c>
      <c r="W142" s="835">
        <f t="shared" si="100"/>
        <v>109.52547018144331</v>
      </c>
      <c r="X142" s="835">
        <f t="shared" si="100"/>
        <v>108.45188021955829</v>
      </c>
      <c r="Y142" s="835">
        <f t="shared" si="100"/>
        <v>107.48177443898049</v>
      </c>
      <c r="Z142" s="835">
        <f t="shared" si="100"/>
        <v>106.40596598246024</v>
      </c>
      <c r="AA142" s="835">
        <f t="shared" si="100"/>
        <v>105.42937032458583</v>
      </c>
      <c r="AB142" s="835">
        <f t="shared" si="100"/>
        <v>104.42975440011782</v>
      </c>
      <c r="AC142" s="835">
        <f t="shared" si="100"/>
        <v>103.42397084965428</v>
      </c>
      <c r="AD142" s="835">
        <f t="shared" si="100"/>
        <v>102.42497975233732</v>
      </c>
      <c r="AE142" s="835">
        <f t="shared" si="100"/>
        <v>101.40096303058256</v>
      </c>
      <c r="AF142" s="835">
        <f t="shared" si="100"/>
        <v>100.36759764470827</v>
      </c>
      <c r="AG142" s="835">
        <f t="shared" si="100"/>
        <v>99.934415480926887</v>
      </c>
      <c r="AH142" s="835">
        <f t="shared" si="100"/>
        <v>99.51978162176394</v>
      </c>
      <c r="AI142" s="835">
        <f t="shared" si="100"/>
        <v>99.092071670039218</v>
      </c>
      <c r="AJ142" s="835">
        <f t="shared" si="100"/>
        <v>98.653741248342698</v>
      </c>
      <c r="AK142" s="835">
        <f t="shared" si="100"/>
        <v>98.107307414313837</v>
      </c>
      <c r="AL142" s="835">
        <f t="shared" si="100"/>
        <v>97.847432268120428</v>
      </c>
      <c r="AM142" s="835">
        <f t="shared" si="100"/>
        <v>97.590279494339939</v>
      </c>
      <c r="AN142" s="835">
        <f t="shared" si="100"/>
        <v>97.330080900918006</v>
      </c>
      <c r="AO142" s="835">
        <f t="shared" si="100"/>
        <v>97.320431426068694</v>
      </c>
      <c r="AP142" s="835">
        <f t="shared" si="100"/>
        <v>97.31315913456605</v>
      </c>
      <c r="AQ142" s="835">
        <f t="shared" si="100"/>
        <v>97.31429039031849</v>
      </c>
      <c r="AR142" s="835">
        <f t="shared" si="100"/>
        <v>97.301833075788878</v>
      </c>
      <c r="AS142" s="835">
        <f t="shared" si="100"/>
        <v>97.284409390610094</v>
      </c>
      <c r="AT142" s="835">
        <f t="shared" si="100"/>
        <v>97.274358672751617</v>
      </c>
      <c r="AU142" s="835">
        <f t="shared" si="100"/>
        <v>97.261759044422803</v>
      </c>
      <c r="AV142" s="835">
        <f t="shared" si="100"/>
        <v>97.253024614097583</v>
      </c>
      <c r="AW142" s="835">
        <f t="shared" si="100"/>
        <v>97.246920877212219</v>
      </c>
      <c r="AX142" s="835">
        <f t="shared" si="100"/>
        <v>97.243439368159244</v>
      </c>
      <c r="AY142" s="835">
        <f t="shared" si="100"/>
        <v>97.250223636644876</v>
      </c>
      <c r="AZ142" s="835">
        <f t="shared" si="100"/>
        <v>97.263796683193164</v>
      </c>
      <c r="BA142" s="835">
        <f t="shared" si="100"/>
        <v>97.282226799671861</v>
      </c>
      <c r="BB142" s="835">
        <f t="shared" si="100"/>
        <v>97.297134572958285</v>
      </c>
      <c r="BC142" s="835">
        <f t="shared" si="100"/>
        <v>97.316747917036565</v>
      </c>
      <c r="BD142" s="835">
        <f t="shared" si="100"/>
        <v>97.337157201382979</v>
      </c>
      <c r="BE142" s="835">
        <f t="shared" si="100"/>
        <v>97.360897023546769</v>
      </c>
      <c r="BF142" s="835">
        <f t="shared" si="100"/>
        <v>97.391781303486994</v>
      </c>
      <c r="BG142" s="835">
        <f t="shared" si="100"/>
        <v>97.423309426201584</v>
      </c>
      <c r="BH142" s="835">
        <f t="shared" si="100"/>
        <v>97.45820835034101</v>
      </c>
      <c r="BI142" s="835">
        <f t="shared" si="100"/>
        <v>97.490861143108546</v>
      </c>
      <c r="BJ142" s="835">
        <f t="shared" si="100"/>
        <v>97.523898318724903</v>
      </c>
      <c r="BK142" s="835">
        <f t="shared" si="100"/>
        <v>97.558824872398347</v>
      </c>
      <c r="BL142" s="835">
        <f t="shared" si="100"/>
        <v>97.594058785677888</v>
      </c>
      <c r="BM142" s="835">
        <f t="shared" si="100"/>
        <v>97.631953267368189</v>
      </c>
      <c r="BN142" s="835">
        <f t="shared" si="100"/>
        <v>97.671889352721564</v>
      </c>
      <c r="BO142" s="835">
        <f t="shared" si="100"/>
        <v>97.716812115229231</v>
      </c>
      <c r="BP142" s="835">
        <f t="shared" si="100"/>
        <v>97.766430517166455</v>
      </c>
      <c r="BQ142" s="835">
        <f t="shared" si="100"/>
        <v>97.820508410443836</v>
      </c>
      <c r="BR142" s="835">
        <f t="shared" si="100"/>
        <v>97.873449488281537</v>
      </c>
      <c r="BS142" s="835">
        <f t="shared" si="100"/>
        <v>97.929313522939069</v>
      </c>
      <c r="BT142" s="835">
        <f t="shared" ref="BT142:CI142" si="101">(((BT136-BT147)+(BT137-BT148))*1000000)/((BT169+BT170)*1000)</f>
        <v>97.987007474253232</v>
      </c>
      <c r="BU142" s="835">
        <f t="shared" si="101"/>
        <v>98.049988115179303</v>
      </c>
      <c r="BV142" s="835">
        <f t="shared" si="101"/>
        <v>98.1109155752155</v>
      </c>
      <c r="BW142" s="835">
        <f t="shared" si="101"/>
        <v>98.175910592352096</v>
      </c>
      <c r="BX142" s="835">
        <f t="shared" si="101"/>
        <v>98.243931369599309</v>
      </c>
      <c r="BY142" s="835">
        <f t="shared" si="101"/>
        <v>98.317006590110211</v>
      </c>
      <c r="BZ142" s="835">
        <f t="shared" si="101"/>
        <v>98.393598169207209</v>
      </c>
      <c r="CA142" s="835">
        <f t="shared" si="101"/>
        <v>98.473110390837547</v>
      </c>
      <c r="CB142" s="835">
        <f t="shared" si="101"/>
        <v>98.550909463117961</v>
      </c>
      <c r="CC142" s="835">
        <f t="shared" si="101"/>
        <v>98.630261582902435</v>
      </c>
      <c r="CD142" s="835">
        <f t="shared" si="101"/>
        <v>98.709120161255072</v>
      </c>
      <c r="CE142" s="835">
        <f t="shared" si="101"/>
        <v>98.7898304015077</v>
      </c>
      <c r="CF142" s="835">
        <f t="shared" si="101"/>
        <v>98.869429446905116</v>
      </c>
      <c r="CG142" s="835">
        <f t="shared" si="101"/>
        <v>98.947279105653919</v>
      </c>
      <c r="CH142" s="835">
        <f t="shared" si="101"/>
        <v>99.021792869233863</v>
      </c>
      <c r="CI142" s="836">
        <f t="shared" si="101"/>
        <v>107.63964026429284</v>
      </c>
      <c r="CJ142" s="1478"/>
      <c r="CK142" s="1478"/>
      <c r="CL142" s="1478"/>
      <c r="CM142" s="1478"/>
      <c r="CN142" s="1478"/>
      <c r="CO142" s="1478"/>
      <c r="CP142" s="1478"/>
      <c r="CQ142" s="1478"/>
      <c r="CR142" s="1478"/>
      <c r="CS142" s="1478"/>
    </row>
    <row r="143" spans="2:97" x14ac:dyDescent="0.35">
      <c r="B143" s="822" t="s">
        <v>588</v>
      </c>
      <c r="C143" s="830" t="s">
        <v>374</v>
      </c>
      <c r="D143" s="831" t="s">
        <v>589</v>
      </c>
      <c r="E143" s="832" t="s">
        <v>305</v>
      </c>
      <c r="F143" s="833">
        <v>2</v>
      </c>
      <c r="G143" s="642">
        <f t="shared" ref="G143:L143" si="102">G53+G111</f>
        <v>0.42</v>
      </c>
      <c r="H143" s="642">
        <f t="shared" si="102"/>
        <v>0.42</v>
      </c>
      <c r="I143" s="642">
        <f t="shared" si="102"/>
        <v>0.42</v>
      </c>
      <c r="J143" s="642">
        <f t="shared" si="102"/>
        <v>0.42</v>
      </c>
      <c r="K143" s="642">
        <f t="shared" si="102"/>
        <v>0.42</v>
      </c>
      <c r="L143" s="642">
        <f t="shared" si="102"/>
        <v>0.42</v>
      </c>
      <c r="M143" s="802">
        <f t="shared" ref="M143:AR143" si="103">M53+M111</f>
        <v>0.42</v>
      </c>
      <c r="N143" s="802">
        <f t="shared" si="103"/>
        <v>0.42</v>
      </c>
      <c r="O143" s="802">
        <f t="shared" si="103"/>
        <v>0.42</v>
      </c>
      <c r="P143" s="802">
        <f t="shared" si="103"/>
        <v>0.42</v>
      </c>
      <c r="Q143" s="802">
        <f t="shared" si="103"/>
        <v>0.42</v>
      </c>
      <c r="R143" s="802">
        <f t="shared" si="103"/>
        <v>0.42</v>
      </c>
      <c r="S143" s="802">
        <f t="shared" si="103"/>
        <v>0.42</v>
      </c>
      <c r="T143" s="802">
        <f t="shared" si="103"/>
        <v>0.42</v>
      </c>
      <c r="U143" s="802">
        <f t="shared" si="103"/>
        <v>0.42</v>
      </c>
      <c r="V143" s="802">
        <f t="shared" si="103"/>
        <v>0.42</v>
      </c>
      <c r="W143" s="802">
        <f t="shared" si="103"/>
        <v>0.42</v>
      </c>
      <c r="X143" s="802">
        <f t="shared" si="103"/>
        <v>0.42</v>
      </c>
      <c r="Y143" s="802">
        <f t="shared" si="103"/>
        <v>0.42</v>
      </c>
      <c r="Z143" s="802">
        <f t="shared" si="103"/>
        <v>0.42</v>
      </c>
      <c r="AA143" s="802">
        <f t="shared" si="103"/>
        <v>0.42</v>
      </c>
      <c r="AB143" s="802">
        <f t="shared" si="103"/>
        <v>0.42</v>
      </c>
      <c r="AC143" s="802">
        <f t="shared" si="103"/>
        <v>0.42</v>
      </c>
      <c r="AD143" s="802">
        <f t="shared" si="103"/>
        <v>0.42</v>
      </c>
      <c r="AE143" s="802">
        <f t="shared" si="103"/>
        <v>0.42</v>
      </c>
      <c r="AF143" s="802">
        <f t="shared" si="103"/>
        <v>0.42</v>
      </c>
      <c r="AG143" s="802">
        <f t="shared" si="103"/>
        <v>0.42</v>
      </c>
      <c r="AH143" s="802">
        <f t="shared" si="103"/>
        <v>0.42</v>
      </c>
      <c r="AI143" s="802">
        <f t="shared" si="103"/>
        <v>0.42</v>
      </c>
      <c r="AJ143" s="802">
        <f t="shared" si="103"/>
        <v>0.42</v>
      </c>
      <c r="AK143" s="802">
        <f t="shared" si="103"/>
        <v>0.42</v>
      </c>
      <c r="AL143" s="802">
        <f t="shared" si="103"/>
        <v>0.42</v>
      </c>
      <c r="AM143" s="802">
        <f t="shared" si="103"/>
        <v>0.42</v>
      </c>
      <c r="AN143" s="802">
        <f t="shared" si="103"/>
        <v>0.42</v>
      </c>
      <c r="AO143" s="802">
        <f t="shared" si="103"/>
        <v>0.42</v>
      </c>
      <c r="AP143" s="802">
        <f t="shared" si="103"/>
        <v>0.42</v>
      </c>
      <c r="AQ143" s="802">
        <f t="shared" si="103"/>
        <v>0.42</v>
      </c>
      <c r="AR143" s="802">
        <f t="shared" si="103"/>
        <v>0.42</v>
      </c>
      <c r="AS143" s="802">
        <f t="shared" ref="AS143:BX143" si="104">AS53+AS111</f>
        <v>0.42</v>
      </c>
      <c r="AT143" s="802">
        <f t="shared" si="104"/>
        <v>0.42</v>
      </c>
      <c r="AU143" s="802">
        <f t="shared" si="104"/>
        <v>0.42</v>
      </c>
      <c r="AV143" s="802">
        <f t="shared" si="104"/>
        <v>0.42</v>
      </c>
      <c r="AW143" s="802">
        <f t="shared" si="104"/>
        <v>0.42</v>
      </c>
      <c r="AX143" s="802">
        <f t="shared" si="104"/>
        <v>0.42</v>
      </c>
      <c r="AY143" s="802">
        <f t="shared" si="104"/>
        <v>0.42</v>
      </c>
      <c r="AZ143" s="802">
        <f t="shared" si="104"/>
        <v>0.42</v>
      </c>
      <c r="BA143" s="802">
        <f t="shared" si="104"/>
        <v>0.42</v>
      </c>
      <c r="BB143" s="802">
        <f t="shared" si="104"/>
        <v>0.42</v>
      </c>
      <c r="BC143" s="802">
        <f t="shared" si="104"/>
        <v>0.42</v>
      </c>
      <c r="BD143" s="802">
        <f t="shared" si="104"/>
        <v>0.42</v>
      </c>
      <c r="BE143" s="802">
        <f t="shared" si="104"/>
        <v>0.42</v>
      </c>
      <c r="BF143" s="802">
        <f t="shared" si="104"/>
        <v>0.42</v>
      </c>
      <c r="BG143" s="802">
        <f t="shared" si="104"/>
        <v>0.42</v>
      </c>
      <c r="BH143" s="802">
        <f t="shared" si="104"/>
        <v>0.42</v>
      </c>
      <c r="BI143" s="802">
        <f t="shared" si="104"/>
        <v>0.42</v>
      </c>
      <c r="BJ143" s="802">
        <f t="shared" si="104"/>
        <v>0.42</v>
      </c>
      <c r="BK143" s="802">
        <f t="shared" si="104"/>
        <v>0.42</v>
      </c>
      <c r="BL143" s="802">
        <f t="shared" si="104"/>
        <v>0.42</v>
      </c>
      <c r="BM143" s="802">
        <f t="shared" si="104"/>
        <v>0.42</v>
      </c>
      <c r="BN143" s="802">
        <f t="shared" si="104"/>
        <v>0.42</v>
      </c>
      <c r="BO143" s="802">
        <f t="shared" si="104"/>
        <v>0.42</v>
      </c>
      <c r="BP143" s="802">
        <f t="shared" si="104"/>
        <v>0.42</v>
      </c>
      <c r="BQ143" s="802">
        <f t="shared" si="104"/>
        <v>0.42</v>
      </c>
      <c r="BR143" s="802">
        <f t="shared" si="104"/>
        <v>0.42</v>
      </c>
      <c r="BS143" s="802">
        <f t="shared" si="104"/>
        <v>0.42</v>
      </c>
      <c r="BT143" s="802">
        <f t="shared" si="104"/>
        <v>0.42</v>
      </c>
      <c r="BU143" s="802">
        <f t="shared" si="104"/>
        <v>0.42</v>
      </c>
      <c r="BV143" s="802">
        <f t="shared" si="104"/>
        <v>0.42</v>
      </c>
      <c r="BW143" s="802">
        <f t="shared" si="104"/>
        <v>0.42</v>
      </c>
      <c r="BX143" s="802">
        <f t="shared" si="104"/>
        <v>0.42</v>
      </c>
      <c r="BY143" s="802">
        <f t="shared" ref="BY143:CI143" si="105">BY53+BY111</f>
        <v>0.42</v>
      </c>
      <c r="BZ143" s="802">
        <f t="shared" si="105"/>
        <v>0.42</v>
      </c>
      <c r="CA143" s="802">
        <f t="shared" si="105"/>
        <v>0.42</v>
      </c>
      <c r="CB143" s="802">
        <f t="shared" si="105"/>
        <v>0.42</v>
      </c>
      <c r="CC143" s="802">
        <f t="shared" si="105"/>
        <v>0.42</v>
      </c>
      <c r="CD143" s="802">
        <f t="shared" si="105"/>
        <v>0.42</v>
      </c>
      <c r="CE143" s="802">
        <f t="shared" si="105"/>
        <v>0.42</v>
      </c>
      <c r="CF143" s="802">
        <f t="shared" si="105"/>
        <v>0.42</v>
      </c>
      <c r="CG143" s="802">
        <f t="shared" si="105"/>
        <v>0.42</v>
      </c>
      <c r="CH143" s="802">
        <f t="shared" si="105"/>
        <v>0.42</v>
      </c>
      <c r="CI143" s="803">
        <f t="shared" si="105"/>
        <v>0.42</v>
      </c>
      <c r="CJ143" s="1478"/>
      <c r="CK143" s="1478"/>
      <c r="CL143" s="1478"/>
      <c r="CM143" s="1478"/>
      <c r="CN143" s="1478"/>
      <c r="CO143" s="1478"/>
      <c r="CP143" s="1478"/>
      <c r="CQ143" s="1478"/>
      <c r="CR143" s="1478"/>
      <c r="CS143" s="1478"/>
    </row>
    <row r="144" spans="2:97" ht="14.5" thickBot="1" x14ac:dyDescent="0.4">
      <c r="B144" s="837" t="s">
        <v>590</v>
      </c>
      <c r="C144" s="838" t="s">
        <v>376</v>
      </c>
      <c r="D144" s="839" t="s">
        <v>591</v>
      </c>
      <c r="E144" s="840" t="s">
        <v>305</v>
      </c>
      <c r="F144" s="841">
        <v>2</v>
      </c>
      <c r="G144" s="813">
        <f t="shared" ref="G144:AL144" si="106">G54+G112</f>
        <v>0.12</v>
      </c>
      <c r="H144" s="813">
        <f t="shared" si="106"/>
        <v>0.12</v>
      </c>
      <c r="I144" s="813">
        <f t="shared" si="106"/>
        <v>0.12</v>
      </c>
      <c r="J144" s="813">
        <f t="shared" si="106"/>
        <v>0.12</v>
      </c>
      <c r="K144" s="813">
        <f t="shared" si="106"/>
        <v>0.12</v>
      </c>
      <c r="L144" s="813">
        <f t="shared" si="106"/>
        <v>0.12</v>
      </c>
      <c r="M144" s="842">
        <f t="shared" si="106"/>
        <v>0.12</v>
      </c>
      <c r="N144" s="842">
        <f t="shared" si="106"/>
        <v>0.12</v>
      </c>
      <c r="O144" s="842">
        <f t="shared" si="106"/>
        <v>0.12</v>
      </c>
      <c r="P144" s="842">
        <f t="shared" si="106"/>
        <v>0.12</v>
      </c>
      <c r="Q144" s="842">
        <f t="shared" si="106"/>
        <v>0.12</v>
      </c>
      <c r="R144" s="842">
        <f t="shared" si="106"/>
        <v>0.12</v>
      </c>
      <c r="S144" s="842">
        <f t="shared" si="106"/>
        <v>0.12</v>
      </c>
      <c r="T144" s="842">
        <f t="shared" si="106"/>
        <v>0.12</v>
      </c>
      <c r="U144" s="842">
        <f t="shared" si="106"/>
        <v>0.12</v>
      </c>
      <c r="V144" s="842">
        <f t="shared" si="106"/>
        <v>0.12</v>
      </c>
      <c r="W144" s="842">
        <f t="shared" si="106"/>
        <v>0.12</v>
      </c>
      <c r="X144" s="842">
        <f t="shared" si="106"/>
        <v>0.12</v>
      </c>
      <c r="Y144" s="842">
        <f t="shared" si="106"/>
        <v>0.12</v>
      </c>
      <c r="Z144" s="842">
        <f t="shared" si="106"/>
        <v>0.12</v>
      </c>
      <c r="AA144" s="842">
        <f t="shared" si="106"/>
        <v>0.12</v>
      </c>
      <c r="AB144" s="842">
        <f t="shared" si="106"/>
        <v>0.12</v>
      </c>
      <c r="AC144" s="842">
        <f t="shared" si="106"/>
        <v>0.12</v>
      </c>
      <c r="AD144" s="842">
        <f t="shared" si="106"/>
        <v>0.12</v>
      </c>
      <c r="AE144" s="842">
        <f t="shared" si="106"/>
        <v>0.12</v>
      </c>
      <c r="AF144" s="842">
        <f t="shared" si="106"/>
        <v>0.12</v>
      </c>
      <c r="AG144" s="842">
        <f t="shared" si="106"/>
        <v>0.12</v>
      </c>
      <c r="AH144" s="842">
        <f t="shared" si="106"/>
        <v>0.12</v>
      </c>
      <c r="AI144" s="842">
        <f t="shared" si="106"/>
        <v>0.12</v>
      </c>
      <c r="AJ144" s="842">
        <f t="shared" si="106"/>
        <v>0.12</v>
      </c>
      <c r="AK144" s="842">
        <f t="shared" si="106"/>
        <v>0.12</v>
      </c>
      <c r="AL144" s="842">
        <f t="shared" si="106"/>
        <v>0.12</v>
      </c>
      <c r="AM144" s="842">
        <f t="shared" ref="AM144:BR144" si="107">AM54+AM112</f>
        <v>0.12</v>
      </c>
      <c r="AN144" s="842">
        <f t="shared" si="107"/>
        <v>0.12</v>
      </c>
      <c r="AO144" s="842">
        <f t="shared" si="107"/>
        <v>0.12</v>
      </c>
      <c r="AP144" s="842">
        <f t="shared" si="107"/>
        <v>0.12</v>
      </c>
      <c r="AQ144" s="842">
        <f t="shared" si="107"/>
        <v>0.12</v>
      </c>
      <c r="AR144" s="842">
        <f t="shared" si="107"/>
        <v>0.12</v>
      </c>
      <c r="AS144" s="842">
        <f t="shared" si="107"/>
        <v>0.12</v>
      </c>
      <c r="AT144" s="842">
        <f t="shared" si="107"/>
        <v>0.12</v>
      </c>
      <c r="AU144" s="842">
        <f t="shared" si="107"/>
        <v>0.12</v>
      </c>
      <c r="AV144" s="842">
        <f t="shared" si="107"/>
        <v>0.12</v>
      </c>
      <c r="AW144" s="842">
        <f t="shared" si="107"/>
        <v>0.12</v>
      </c>
      <c r="AX144" s="842">
        <f t="shared" si="107"/>
        <v>0.12</v>
      </c>
      <c r="AY144" s="842">
        <f t="shared" si="107"/>
        <v>0.12</v>
      </c>
      <c r="AZ144" s="842">
        <f t="shared" si="107"/>
        <v>0.12</v>
      </c>
      <c r="BA144" s="842">
        <f t="shared" si="107"/>
        <v>0.12</v>
      </c>
      <c r="BB144" s="842">
        <f t="shared" si="107"/>
        <v>0.12</v>
      </c>
      <c r="BC144" s="842">
        <f t="shared" si="107"/>
        <v>0.12</v>
      </c>
      <c r="BD144" s="842">
        <f t="shared" si="107"/>
        <v>0.12</v>
      </c>
      <c r="BE144" s="842">
        <f t="shared" si="107"/>
        <v>0.12</v>
      </c>
      <c r="BF144" s="842">
        <f t="shared" si="107"/>
        <v>0.12</v>
      </c>
      <c r="BG144" s="842">
        <f t="shared" si="107"/>
        <v>0.12</v>
      </c>
      <c r="BH144" s="842">
        <f t="shared" si="107"/>
        <v>0.12</v>
      </c>
      <c r="BI144" s="842">
        <f t="shared" si="107"/>
        <v>0.12</v>
      </c>
      <c r="BJ144" s="842">
        <f t="shared" si="107"/>
        <v>0.12</v>
      </c>
      <c r="BK144" s="842">
        <f t="shared" si="107"/>
        <v>0.12</v>
      </c>
      <c r="BL144" s="842">
        <f t="shared" si="107"/>
        <v>0.12</v>
      </c>
      <c r="BM144" s="842">
        <f t="shared" si="107"/>
        <v>0.12</v>
      </c>
      <c r="BN144" s="842">
        <f t="shared" si="107"/>
        <v>0.12</v>
      </c>
      <c r="BO144" s="842">
        <f t="shared" si="107"/>
        <v>0.12</v>
      </c>
      <c r="BP144" s="842">
        <f t="shared" si="107"/>
        <v>0.12</v>
      </c>
      <c r="BQ144" s="842">
        <f t="shared" si="107"/>
        <v>0.12</v>
      </c>
      <c r="BR144" s="842">
        <f t="shared" si="107"/>
        <v>0.12</v>
      </c>
      <c r="BS144" s="842">
        <f t="shared" ref="BS144:CI144" si="108">BS54+BS112</f>
        <v>0.12</v>
      </c>
      <c r="BT144" s="842">
        <f t="shared" si="108"/>
        <v>0.12</v>
      </c>
      <c r="BU144" s="842">
        <f t="shared" si="108"/>
        <v>0.12</v>
      </c>
      <c r="BV144" s="842">
        <f t="shared" si="108"/>
        <v>0.12</v>
      </c>
      <c r="BW144" s="842">
        <f t="shared" si="108"/>
        <v>0.12</v>
      </c>
      <c r="BX144" s="842">
        <f t="shared" si="108"/>
        <v>0.12</v>
      </c>
      <c r="BY144" s="842">
        <f t="shared" si="108"/>
        <v>0.12</v>
      </c>
      <c r="BZ144" s="842">
        <f t="shared" si="108"/>
        <v>0.12</v>
      </c>
      <c r="CA144" s="842">
        <f t="shared" si="108"/>
        <v>0.12</v>
      </c>
      <c r="CB144" s="842">
        <f t="shared" si="108"/>
        <v>0.12</v>
      </c>
      <c r="CC144" s="842">
        <f t="shared" si="108"/>
        <v>0.12</v>
      </c>
      <c r="CD144" s="842">
        <f t="shared" si="108"/>
        <v>0.12</v>
      </c>
      <c r="CE144" s="842">
        <f t="shared" si="108"/>
        <v>0.12</v>
      </c>
      <c r="CF144" s="842">
        <f t="shared" si="108"/>
        <v>0.12</v>
      </c>
      <c r="CG144" s="842">
        <f t="shared" si="108"/>
        <v>0.12</v>
      </c>
      <c r="CH144" s="842">
        <f t="shared" si="108"/>
        <v>0.12</v>
      </c>
      <c r="CI144" s="843">
        <f t="shared" si="108"/>
        <v>0.12</v>
      </c>
      <c r="CJ144" s="1478"/>
      <c r="CK144" s="1478"/>
      <c r="CL144" s="1478"/>
      <c r="CM144" s="1478"/>
      <c r="CN144" s="1478"/>
      <c r="CO144" s="1478"/>
      <c r="CP144" s="1478"/>
      <c r="CQ144" s="1478"/>
      <c r="CR144" s="1478"/>
      <c r="CS144" s="1478"/>
    </row>
    <row r="145" spans="2:97" x14ac:dyDescent="0.35">
      <c r="B145" s="790" t="s">
        <v>592</v>
      </c>
      <c r="C145" s="791" t="s">
        <v>378</v>
      </c>
      <c r="D145" s="792" t="s">
        <v>593</v>
      </c>
      <c r="E145" s="793" t="s">
        <v>305</v>
      </c>
      <c r="F145" s="794">
        <v>2</v>
      </c>
      <c r="G145" s="819">
        <f t="shared" ref="G145:L145" si="109">G55+G113</f>
        <v>0.16</v>
      </c>
      <c r="H145" s="819">
        <f t="shared" si="109"/>
        <v>0.15</v>
      </c>
      <c r="I145" s="819">
        <f t="shared" si="109"/>
        <v>0.15</v>
      </c>
      <c r="J145" s="819">
        <f t="shared" si="109"/>
        <v>0.15</v>
      </c>
      <c r="K145" s="819">
        <f t="shared" si="109"/>
        <v>0.15</v>
      </c>
      <c r="L145" s="819">
        <f t="shared" si="109"/>
        <v>0.15</v>
      </c>
      <c r="M145" s="820">
        <f t="shared" ref="M145:AR145" si="110">M55+M113</f>
        <v>0.15</v>
      </c>
      <c r="N145" s="820">
        <f t="shared" si="110"/>
        <v>0.15</v>
      </c>
      <c r="O145" s="820">
        <f t="shared" si="110"/>
        <v>0.15</v>
      </c>
      <c r="P145" s="820">
        <f t="shared" si="110"/>
        <v>0.15</v>
      </c>
      <c r="Q145" s="820">
        <f t="shared" si="110"/>
        <v>0.15</v>
      </c>
      <c r="R145" s="820">
        <f t="shared" si="110"/>
        <v>0.15</v>
      </c>
      <c r="S145" s="820">
        <f t="shared" si="110"/>
        <v>0.15</v>
      </c>
      <c r="T145" s="820">
        <f t="shared" si="110"/>
        <v>0.15</v>
      </c>
      <c r="U145" s="820">
        <f t="shared" si="110"/>
        <v>0.15</v>
      </c>
      <c r="V145" s="820">
        <f t="shared" si="110"/>
        <v>0.15</v>
      </c>
      <c r="W145" s="820">
        <f t="shared" si="110"/>
        <v>0.15</v>
      </c>
      <c r="X145" s="820">
        <f t="shared" si="110"/>
        <v>0.15</v>
      </c>
      <c r="Y145" s="820">
        <f t="shared" si="110"/>
        <v>0.15</v>
      </c>
      <c r="Z145" s="820">
        <f t="shared" si="110"/>
        <v>0.15</v>
      </c>
      <c r="AA145" s="820">
        <f t="shared" si="110"/>
        <v>0.15</v>
      </c>
      <c r="AB145" s="820">
        <f t="shared" si="110"/>
        <v>0.15</v>
      </c>
      <c r="AC145" s="820">
        <f t="shared" si="110"/>
        <v>0.15</v>
      </c>
      <c r="AD145" s="820">
        <f t="shared" si="110"/>
        <v>0.15</v>
      </c>
      <c r="AE145" s="820">
        <f t="shared" si="110"/>
        <v>0.15</v>
      </c>
      <c r="AF145" s="820">
        <f t="shared" si="110"/>
        <v>0.15</v>
      </c>
      <c r="AG145" s="820">
        <f t="shared" si="110"/>
        <v>0.15</v>
      </c>
      <c r="AH145" s="820">
        <f t="shared" si="110"/>
        <v>0.15</v>
      </c>
      <c r="AI145" s="820">
        <f t="shared" si="110"/>
        <v>0.15</v>
      </c>
      <c r="AJ145" s="820">
        <f t="shared" si="110"/>
        <v>0.15</v>
      </c>
      <c r="AK145" s="820">
        <f t="shared" si="110"/>
        <v>0.15</v>
      </c>
      <c r="AL145" s="820">
        <f t="shared" si="110"/>
        <v>0.15</v>
      </c>
      <c r="AM145" s="820">
        <f t="shared" si="110"/>
        <v>0.15</v>
      </c>
      <c r="AN145" s="820">
        <f t="shared" si="110"/>
        <v>0.15</v>
      </c>
      <c r="AO145" s="820">
        <f t="shared" si="110"/>
        <v>0.15</v>
      </c>
      <c r="AP145" s="820">
        <f t="shared" si="110"/>
        <v>0.15</v>
      </c>
      <c r="AQ145" s="820">
        <f t="shared" si="110"/>
        <v>0.15</v>
      </c>
      <c r="AR145" s="820">
        <f t="shared" si="110"/>
        <v>0.15</v>
      </c>
      <c r="AS145" s="820">
        <f t="shared" ref="AS145:BX145" si="111">AS55+AS113</f>
        <v>0.15</v>
      </c>
      <c r="AT145" s="820">
        <f t="shared" si="111"/>
        <v>0.15</v>
      </c>
      <c r="AU145" s="820">
        <f t="shared" si="111"/>
        <v>0.15</v>
      </c>
      <c r="AV145" s="820">
        <f t="shared" si="111"/>
        <v>0.15</v>
      </c>
      <c r="AW145" s="820">
        <f t="shared" si="111"/>
        <v>0.15</v>
      </c>
      <c r="AX145" s="820">
        <f t="shared" si="111"/>
        <v>0.15</v>
      </c>
      <c r="AY145" s="820">
        <f t="shared" si="111"/>
        <v>0.15</v>
      </c>
      <c r="AZ145" s="820">
        <f t="shared" si="111"/>
        <v>0.15</v>
      </c>
      <c r="BA145" s="820">
        <f t="shared" si="111"/>
        <v>0.15</v>
      </c>
      <c r="BB145" s="820">
        <f t="shared" si="111"/>
        <v>0.15</v>
      </c>
      <c r="BC145" s="820">
        <f t="shared" si="111"/>
        <v>0.15</v>
      </c>
      <c r="BD145" s="820">
        <f t="shared" si="111"/>
        <v>0.15</v>
      </c>
      <c r="BE145" s="820">
        <f t="shared" si="111"/>
        <v>0.15</v>
      </c>
      <c r="BF145" s="820">
        <f t="shared" si="111"/>
        <v>0.15</v>
      </c>
      <c r="BG145" s="820">
        <f t="shared" si="111"/>
        <v>0.15</v>
      </c>
      <c r="BH145" s="820">
        <f t="shared" si="111"/>
        <v>0.15</v>
      </c>
      <c r="BI145" s="820">
        <f t="shared" si="111"/>
        <v>0.15</v>
      </c>
      <c r="BJ145" s="820">
        <f t="shared" si="111"/>
        <v>0.15</v>
      </c>
      <c r="BK145" s="820">
        <f t="shared" si="111"/>
        <v>0.15</v>
      </c>
      <c r="BL145" s="820">
        <f t="shared" si="111"/>
        <v>0.15</v>
      </c>
      <c r="BM145" s="820">
        <f t="shared" si="111"/>
        <v>0.15</v>
      </c>
      <c r="BN145" s="820">
        <f t="shared" si="111"/>
        <v>0.15</v>
      </c>
      <c r="BO145" s="820">
        <f t="shared" si="111"/>
        <v>0.15</v>
      </c>
      <c r="BP145" s="820">
        <f t="shared" si="111"/>
        <v>0.15</v>
      </c>
      <c r="BQ145" s="820">
        <f t="shared" si="111"/>
        <v>0.15</v>
      </c>
      <c r="BR145" s="820">
        <f t="shared" si="111"/>
        <v>0.15</v>
      </c>
      <c r="BS145" s="820">
        <f t="shared" si="111"/>
        <v>0.15</v>
      </c>
      <c r="BT145" s="820">
        <f t="shared" si="111"/>
        <v>0.15</v>
      </c>
      <c r="BU145" s="820">
        <f t="shared" si="111"/>
        <v>0.15</v>
      </c>
      <c r="BV145" s="820">
        <f t="shared" si="111"/>
        <v>0.15</v>
      </c>
      <c r="BW145" s="820">
        <f t="shared" si="111"/>
        <v>0.15</v>
      </c>
      <c r="BX145" s="820">
        <f t="shared" si="111"/>
        <v>0.15</v>
      </c>
      <c r="BY145" s="820">
        <f t="shared" ref="BY145:CI145" si="112">BY55+BY113</f>
        <v>0.15</v>
      </c>
      <c r="BZ145" s="820">
        <f t="shared" si="112"/>
        <v>0.15</v>
      </c>
      <c r="CA145" s="820">
        <f t="shared" si="112"/>
        <v>0.15</v>
      </c>
      <c r="CB145" s="820">
        <f t="shared" si="112"/>
        <v>0.15</v>
      </c>
      <c r="CC145" s="820">
        <f t="shared" si="112"/>
        <v>0.15</v>
      </c>
      <c r="CD145" s="820">
        <f t="shared" si="112"/>
        <v>0.15</v>
      </c>
      <c r="CE145" s="820">
        <f t="shared" si="112"/>
        <v>0.15</v>
      </c>
      <c r="CF145" s="820">
        <f t="shared" si="112"/>
        <v>0.15</v>
      </c>
      <c r="CG145" s="820">
        <f t="shared" si="112"/>
        <v>0.15</v>
      </c>
      <c r="CH145" s="820">
        <f t="shared" si="112"/>
        <v>0.15</v>
      </c>
      <c r="CI145" s="821">
        <f t="shared" si="112"/>
        <v>0.15</v>
      </c>
      <c r="CJ145" s="1478"/>
      <c r="CK145" s="1478"/>
      <c r="CL145" s="1478"/>
      <c r="CM145" s="1478"/>
      <c r="CN145" s="1478"/>
      <c r="CO145" s="1478"/>
      <c r="CP145" s="1478"/>
      <c r="CQ145" s="1478"/>
      <c r="CR145" s="1478"/>
      <c r="CS145" s="1478"/>
    </row>
    <row r="146" spans="2:97" x14ac:dyDescent="0.35">
      <c r="B146" s="804" t="s">
        <v>594</v>
      </c>
      <c r="C146" s="805" t="s">
        <v>380</v>
      </c>
      <c r="D146" s="799" t="s">
        <v>595</v>
      </c>
      <c r="E146" s="800" t="s">
        <v>305</v>
      </c>
      <c r="F146" s="801">
        <v>2</v>
      </c>
      <c r="G146" s="642">
        <f t="shared" ref="G146:AL146" si="113">G56+G114</f>
        <v>0.02</v>
      </c>
      <c r="H146" s="642">
        <f t="shared" si="113"/>
        <v>0.02</v>
      </c>
      <c r="I146" s="642">
        <f t="shared" si="113"/>
        <v>0.02</v>
      </c>
      <c r="J146" s="642">
        <f t="shared" si="113"/>
        <v>0.02</v>
      </c>
      <c r="K146" s="642">
        <f t="shared" si="113"/>
        <v>0.02</v>
      </c>
      <c r="L146" s="642">
        <f t="shared" si="113"/>
        <v>0.02</v>
      </c>
      <c r="M146" s="802">
        <f t="shared" si="113"/>
        <v>0.02</v>
      </c>
      <c r="N146" s="802">
        <f t="shared" si="113"/>
        <v>0.02</v>
      </c>
      <c r="O146" s="802">
        <f t="shared" si="113"/>
        <v>0.02</v>
      </c>
      <c r="P146" s="802">
        <f t="shared" si="113"/>
        <v>0.02</v>
      </c>
      <c r="Q146" s="802">
        <f t="shared" si="113"/>
        <v>0.02</v>
      </c>
      <c r="R146" s="802">
        <f t="shared" si="113"/>
        <v>0.02</v>
      </c>
      <c r="S146" s="802">
        <f t="shared" si="113"/>
        <v>0.02</v>
      </c>
      <c r="T146" s="802">
        <f t="shared" si="113"/>
        <v>0.02</v>
      </c>
      <c r="U146" s="802">
        <f t="shared" si="113"/>
        <v>0.02</v>
      </c>
      <c r="V146" s="802">
        <f t="shared" si="113"/>
        <v>0.02</v>
      </c>
      <c r="W146" s="802">
        <f t="shared" si="113"/>
        <v>0.02</v>
      </c>
      <c r="X146" s="802">
        <f t="shared" si="113"/>
        <v>0.02</v>
      </c>
      <c r="Y146" s="802">
        <f t="shared" si="113"/>
        <v>0.02</v>
      </c>
      <c r="Z146" s="802">
        <f t="shared" si="113"/>
        <v>0.02</v>
      </c>
      <c r="AA146" s="802">
        <f t="shared" si="113"/>
        <v>0.02</v>
      </c>
      <c r="AB146" s="802">
        <f t="shared" si="113"/>
        <v>0.02</v>
      </c>
      <c r="AC146" s="802">
        <f t="shared" si="113"/>
        <v>0.02</v>
      </c>
      <c r="AD146" s="802">
        <f t="shared" si="113"/>
        <v>0.02</v>
      </c>
      <c r="AE146" s="802">
        <f t="shared" si="113"/>
        <v>0.02</v>
      </c>
      <c r="AF146" s="802">
        <f t="shared" si="113"/>
        <v>0.02</v>
      </c>
      <c r="AG146" s="802">
        <f t="shared" si="113"/>
        <v>0.02</v>
      </c>
      <c r="AH146" s="802">
        <f t="shared" si="113"/>
        <v>0.02</v>
      </c>
      <c r="AI146" s="802">
        <f t="shared" si="113"/>
        <v>0.02</v>
      </c>
      <c r="AJ146" s="802">
        <f t="shared" si="113"/>
        <v>0.02</v>
      </c>
      <c r="AK146" s="802">
        <f t="shared" si="113"/>
        <v>0.02</v>
      </c>
      <c r="AL146" s="802">
        <f t="shared" si="113"/>
        <v>0.02</v>
      </c>
      <c r="AM146" s="802">
        <f t="shared" ref="AM146:BR146" si="114">AM56+AM114</f>
        <v>0.02</v>
      </c>
      <c r="AN146" s="802">
        <f t="shared" si="114"/>
        <v>0.02</v>
      </c>
      <c r="AO146" s="802">
        <f t="shared" si="114"/>
        <v>0.02</v>
      </c>
      <c r="AP146" s="802">
        <f t="shared" si="114"/>
        <v>0.02</v>
      </c>
      <c r="AQ146" s="802">
        <f t="shared" si="114"/>
        <v>0.02</v>
      </c>
      <c r="AR146" s="802">
        <f t="shared" si="114"/>
        <v>0.02</v>
      </c>
      <c r="AS146" s="802">
        <f t="shared" si="114"/>
        <v>0.02</v>
      </c>
      <c r="AT146" s="802">
        <f t="shared" si="114"/>
        <v>0.02</v>
      </c>
      <c r="AU146" s="802">
        <f t="shared" si="114"/>
        <v>0.02</v>
      </c>
      <c r="AV146" s="802">
        <f t="shared" si="114"/>
        <v>0.02</v>
      </c>
      <c r="AW146" s="802">
        <f t="shared" si="114"/>
        <v>0.02</v>
      </c>
      <c r="AX146" s="802">
        <f t="shared" si="114"/>
        <v>0.02</v>
      </c>
      <c r="AY146" s="802">
        <f t="shared" si="114"/>
        <v>0.02</v>
      </c>
      <c r="AZ146" s="802">
        <f t="shared" si="114"/>
        <v>0.02</v>
      </c>
      <c r="BA146" s="802">
        <f t="shared" si="114"/>
        <v>0.02</v>
      </c>
      <c r="BB146" s="802">
        <f t="shared" si="114"/>
        <v>0.02</v>
      </c>
      <c r="BC146" s="802">
        <f t="shared" si="114"/>
        <v>0.02</v>
      </c>
      <c r="BD146" s="802">
        <f t="shared" si="114"/>
        <v>0.02</v>
      </c>
      <c r="BE146" s="802">
        <f t="shared" si="114"/>
        <v>0.02</v>
      </c>
      <c r="BF146" s="802">
        <f t="shared" si="114"/>
        <v>0.02</v>
      </c>
      <c r="BG146" s="802">
        <f t="shared" si="114"/>
        <v>0.02</v>
      </c>
      <c r="BH146" s="802">
        <f t="shared" si="114"/>
        <v>0.02</v>
      </c>
      <c r="BI146" s="802">
        <f t="shared" si="114"/>
        <v>0.02</v>
      </c>
      <c r="BJ146" s="802">
        <f t="shared" si="114"/>
        <v>0.02</v>
      </c>
      <c r="BK146" s="802">
        <f t="shared" si="114"/>
        <v>0.02</v>
      </c>
      <c r="BL146" s="802">
        <f t="shared" si="114"/>
        <v>0.02</v>
      </c>
      <c r="BM146" s="802">
        <f t="shared" si="114"/>
        <v>0.02</v>
      </c>
      <c r="BN146" s="802">
        <f t="shared" si="114"/>
        <v>0.02</v>
      </c>
      <c r="BO146" s="802">
        <f t="shared" si="114"/>
        <v>0.02</v>
      </c>
      <c r="BP146" s="802">
        <f t="shared" si="114"/>
        <v>0.02</v>
      </c>
      <c r="BQ146" s="802">
        <f t="shared" si="114"/>
        <v>0.02</v>
      </c>
      <c r="BR146" s="802">
        <f t="shared" si="114"/>
        <v>0.02</v>
      </c>
      <c r="BS146" s="802">
        <f t="shared" ref="BS146:CI146" si="115">BS56+BS114</f>
        <v>0.02</v>
      </c>
      <c r="BT146" s="802">
        <f t="shared" si="115"/>
        <v>0.02</v>
      </c>
      <c r="BU146" s="802">
        <f t="shared" si="115"/>
        <v>0.02</v>
      </c>
      <c r="BV146" s="802">
        <f t="shared" si="115"/>
        <v>0.02</v>
      </c>
      <c r="BW146" s="802">
        <f t="shared" si="115"/>
        <v>0.02</v>
      </c>
      <c r="BX146" s="802">
        <f t="shared" si="115"/>
        <v>0.02</v>
      </c>
      <c r="BY146" s="802">
        <f t="shared" si="115"/>
        <v>0.02</v>
      </c>
      <c r="BZ146" s="802">
        <f t="shared" si="115"/>
        <v>0.02</v>
      </c>
      <c r="CA146" s="802">
        <f t="shared" si="115"/>
        <v>0.02</v>
      </c>
      <c r="CB146" s="802">
        <f t="shared" si="115"/>
        <v>0.02</v>
      </c>
      <c r="CC146" s="802">
        <f t="shared" si="115"/>
        <v>0.02</v>
      </c>
      <c r="CD146" s="802">
        <f t="shared" si="115"/>
        <v>0.02</v>
      </c>
      <c r="CE146" s="802">
        <f t="shared" si="115"/>
        <v>0.02</v>
      </c>
      <c r="CF146" s="802">
        <f t="shared" si="115"/>
        <v>0.02</v>
      </c>
      <c r="CG146" s="802">
        <f t="shared" si="115"/>
        <v>0.02</v>
      </c>
      <c r="CH146" s="802">
        <f t="shared" si="115"/>
        <v>0.02</v>
      </c>
      <c r="CI146" s="803">
        <f t="shared" si="115"/>
        <v>0.02</v>
      </c>
      <c r="CJ146" s="1478"/>
      <c r="CK146" s="1478"/>
      <c r="CL146" s="1478"/>
      <c r="CM146" s="1478"/>
      <c r="CN146" s="1478"/>
      <c r="CO146" s="1478"/>
      <c r="CP146" s="1478"/>
      <c r="CQ146" s="1478"/>
      <c r="CR146" s="1478"/>
      <c r="CS146" s="1478"/>
    </row>
    <row r="147" spans="2:97" x14ac:dyDescent="0.35">
      <c r="B147" s="804" t="s">
        <v>596</v>
      </c>
      <c r="C147" s="805" t="s">
        <v>382</v>
      </c>
      <c r="D147" s="799" t="s">
        <v>597</v>
      </c>
      <c r="E147" s="800" t="s">
        <v>305</v>
      </c>
      <c r="F147" s="801">
        <v>2</v>
      </c>
      <c r="G147" s="642">
        <f t="shared" ref="G147:L147" si="116">G57+G115</f>
        <v>2.54</v>
      </c>
      <c r="H147" s="642">
        <f t="shared" si="116"/>
        <v>2.61</v>
      </c>
      <c r="I147" s="642">
        <f t="shared" si="116"/>
        <v>2.72</v>
      </c>
      <c r="J147" s="642">
        <f t="shared" si="116"/>
        <v>2.72</v>
      </c>
      <c r="K147" s="642">
        <f t="shared" si="116"/>
        <v>2.72</v>
      </c>
      <c r="L147" s="642">
        <f t="shared" si="116"/>
        <v>2.72</v>
      </c>
      <c r="M147" s="802">
        <f t="shared" ref="M147:AR147" si="117">M57+M115</f>
        <v>2.7470000000000003</v>
      </c>
      <c r="N147" s="802">
        <f t="shared" si="117"/>
        <v>2.774</v>
      </c>
      <c r="O147" s="802">
        <f t="shared" si="117"/>
        <v>2.8010000000000002</v>
      </c>
      <c r="P147" s="802">
        <f t="shared" si="117"/>
        <v>2.8280000000000003</v>
      </c>
      <c r="Q147" s="802">
        <f t="shared" si="117"/>
        <v>2.8550000000000004</v>
      </c>
      <c r="R147" s="802">
        <f t="shared" si="117"/>
        <v>2.8820000000000001</v>
      </c>
      <c r="S147" s="802">
        <f t="shared" si="117"/>
        <v>2.9090000000000003</v>
      </c>
      <c r="T147" s="802">
        <f t="shared" si="117"/>
        <v>2.9360000000000004</v>
      </c>
      <c r="U147" s="802">
        <f t="shared" si="117"/>
        <v>2.9630000000000001</v>
      </c>
      <c r="V147" s="802">
        <f t="shared" si="117"/>
        <v>2.99</v>
      </c>
      <c r="W147" s="802">
        <f t="shared" si="117"/>
        <v>2.99</v>
      </c>
      <c r="X147" s="802">
        <f t="shared" si="117"/>
        <v>2.99</v>
      </c>
      <c r="Y147" s="802">
        <f t="shared" si="117"/>
        <v>2.99</v>
      </c>
      <c r="Z147" s="802">
        <f t="shared" si="117"/>
        <v>2.99</v>
      </c>
      <c r="AA147" s="802">
        <f t="shared" si="117"/>
        <v>2.99</v>
      </c>
      <c r="AB147" s="802">
        <f t="shared" si="117"/>
        <v>2.99</v>
      </c>
      <c r="AC147" s="802">
        <f t="shared" si="117"/>
        <v>2.99</v>
      </c>
      <c r="AD147" s="802">
        <f t="shared" si="117"/>
        <v>2.99</v>
      </c>
      <c r="AE147" s="802">
        <f t="shared" si="117"/>
        <v>2.99</v>
      </c>
      <c r="AF147" s="802">
        <f t="shared" si="117"/>
        <v>2.99</v>
      </c>
      <c r="AG147" s="802">
        <f t="shared" si="117"/>
        <v>2.99</v>
      </c>
      <c r="AH147" s="802">
        <f t="shared" si="117"/>
        <v>2.99</v>
      </c>
      <c r="AI147" s="802">
        <f t="shared" si="117"/>
        <v>2.99</v>
      </c>
      <c r="AJ147" s="802">
        <f t="shared" si="117"/>
        <v>2.99</v>
      </c>
      <c r="AK147" s="802">
        <f t="shared" si="117"/>
        <v>2.99</v>
      </c>
      <c r="AL147" s="802">
        <f t="shared" si="117"/>
        <v>2.99</v>
      </c>
      <c r="AM147" s="802">
        <f t="shared" si="117"/>
        <v>2.99</v>
      </c>
      <c r="AN147" s="802">
        <f t="shared" si="117"/>
        <v>2.99</v>
      </c>
      <c r="AO147" s="802">
        <f t="shared" si="117"/>
        <v>2.99</v>
      </c>
      <c r="AP147" s="802">
        <f t="shared" si="117"/>
        <v>2.99</v>
      </c>
      <c r="AQ147" s="802">
        <f t="shared" si="117"/>
        <v>2.99</v>
      </c>
      <c r="AR147" s="802">
        <f t="shared" si="117"/>
        <v>2.99</v>
      </c>
      <c r="AS147" s="802">
        <f t="shared" ref="AS147:BX147" si="118">AS57+AS115</f>
        <v>2.99</v>
      </c>
      <c r="AT147" s="802">
        <f t="shared" si="118"/>
        <v>2.99</v>
      </c>
      <c r="AU147" s="802">
        <f t="shared" si="118"/>
        <v>2.99</v>
      </c>
      <c r="AV147" s="802">
        <f t="shared" si="118"/>
        <v>2.99</v>
      </c>
      <c r="AW147" s="802">
        <f t="shared" si="118"/>
        <v>2.99</v>
      </c>
      <c r="AX147" s="802">
        <f t="shared" si="118"/>
        <v>2.99</v>
      </c>
      <c r="AY147" s="802">
        <f t="shared" si="118"/>
        <v>2.99</v>
      </c>
      <c r="AZ147" s="802">
        <f t="shared" si="118"/>
        <v>2.99</v>
      </c>
      <c r="BA147" s="802">
        <f t="shared" si="118"/>
        <v>2.99</v>
      </c>
      <c r="BB147" s="802">
        <f t="shared" si="118"/>
        <v>2.99</v>
      </c>
      <c r="BC147" s="802">
        <f t="shared" si="118"/>
        <v>2.99</v>
      </c>
      <c r="BD147" s="802">
        <f t="shared" si="118"/>
        <v>2.99</v>
      </c>
      <c r="BE147" s="802">
        <f t="shared" si="118"/>
        <v>2.99</v>
      </c>
      <c r="BF147" s="802">
        <f t="shared" si="118"/>
        <v>2.99</v>
      </c>
      <c r="BG147" s="802">
        <f t="shared" si="118"/>
        <v>2.99</v>
      </c>
      <c r="BH147" s="802">
        <f t="shared" si="118"/>
        <v>2.99</v>
      </c>
      <c r="BI147" s="802">
        <f t="shared" si="118"/>
        <v>2.99</v>
      </c>
      <c r="BJ147" s="802">
        <f t="shared" si="118"/>
        <v>2.99</v>
      </c>
      <c r="BK147" s="802">
        <f t="shared" si="118"/>
        <v>2.99</v>
      </c>
      <c r="BL147" s="802">
        <f t="shared" si="118"/>
        <v>2.99</v>
      </c>
      <c r="BM147" s="802">
        <f t="shared" si="118"/>
        <v>2.99</v>
      </c>
      <c r="BN147" s="802">
        <f t="shared" si="118"/>
        <v>2.99</v>
      </c>
      <c r="BO147" s="802">
        <f t="shared" si="118"/>
        <v>2.99</v>
      </c>
      <c r="BP147" s="802">
        <f t="shared" si="118"/>
        <v>2.99</v>
      </c>
      <c r="BQ147" s="802">
        <f t="shared" si="118"/>
        <v>2.99</v>
      </c>
      <c r="BR147" s="802">
        <f t="shared" si="118"/>
        <v>2.99</v>
      </c>
      <c r="BS147" s="802">
        <f t="shared" si="118"/>
        <v>2.99</v>
      </c>
      <c r="BT147" s="802">
        <f t="shared" si="118"/>
        <v>2.99</v>
      </c>
      <c r="BU147" s="802">
        <f t="shared" si="118"/>
        <v>2.99</v>
      </c>
      <c r="BV147" s="802">
        <f t="shared" si="118"/>
        <v>2.99</v>
      </c>
      <c r="BW147" s="802">
        <f t="shared" si="118"/>
        <v>2.99</v>
      </c>
      <c r="BX147" s="802">
        <f t="shared" si="118"/>
        <v>2.99</v>
      </c>
      <c r="BY147" s="802">
        <f t="shared" ref="BY147:CI147" si="119">BY57+BY115</f>
        <v>2.99</v>
      </c>
      <c r="BZ147" s="802">
        <f t="shared" si="119"/>
        <v>2.99</v>
      </c>
      <c r="CA147" s="802">
        <f t="shared" si="119"/>
        <v>2.99</v>
      </c>
      <c r="CB147" s="802">
        <f t="shared" si="119"/>
        <v>2.99</v>
      </c>
      <c r="CC147" s="802">
        <f t="shared" si="119"/>
        <v>2.99</v>
      </c>
      <c r="CD147" s="802">
        <f t="shared" si="119"/>
        <v>2.99</v>
      </c>
      <c r="CE147" s="802">
        <f t="shared" si="119"/>
        <v>2.99</v>
      </c>
      <c r="CF147" s="802">
        <f t="shared" si="119"/>
        <v>2.99</v>
      </c>
      <c r="CG147" s="802">
        <f t="shared" si="119"/>
        <v>2.99</v>
      </c>
      <c r="CH147" s="802">
        <f t="shared" si="119"/>
        <v>2.99</v>
      </c>
      <c r="CI147" s="803">
        <f t="shared" si="119"/>
        <v>2.99</v>
      </c>
      <c r="CJ147" s="1478"/>
      <c r="CK147" s="1478"/>
      <c r="CL147" s="1478"/>
      <c r="CM147" s="1478"/>
      <c r="CN147" s="1478"/>
      <c r="CO147" s="1478"/>
      <c r="CP147" s="1478"/>
      <c r="CQ147" s="1478"/>
      <c r="CR147" s="1478"/>
      <c r="CS147" s="1478"/>
    </row>
    <row r="148" spans="2:97" x14ac:dyDescent="0.35">
      <c r="B148" s="804" t="s">
        <v>598</v>
      </c>
      <c r="C148" s="805" t="s">
        <v>384</v>
      </c>
      <c r="D148" s="799" t="s">
        <v>599</v>
      </c>
      <c r="E148" s="800" t="s">
        <v>305</v>
      </c>
      <c r="F148" s="801">
        <v>2</v>
      </c>
      <c r="G148" s="642">
        <f t="shared" ref="G148:AL148" si="120">G58+G116</f>
        <v>1.25</v>
      </c>
      <c r="H148" s="642">
        <f t="shared" si="120"/>
        <v>1.22</v>
      </c>
      <c r="I148" s="642">
        <f t="shared" si="120"/>
        <v>1.2</v>
      </c>
      <c r="J148" s="642">
        <f t="shared" si="120"/>
        <v>1.2</v>
      </c>
      <c r="K148" s="642">
        <f t="shared" si="120"/>
        <v>1.2</v>
      </c>
      <c r="L148" s="642">
        <f t="shared" si="120"/>
        <v>1.2</v>
      </c>
      <c r="M148" s="802">
        <f t="shared" si="120"/>
        <v>1.131</v>
      </c>
      <c r="N148" s="802">
        <f t="shared" si="120"/>
        <v>1.0619999999999998</v>
      </c>
      <c r="O148" s="802">
        <f t="shared" si="120"/>
        <v>0.99299999999999988</v>
      </c>
      <c r="P148" s="802">
        <f t="shared" si="120"/>
        <v>0.92399999999999993</v>
      </c>
      <c r="Q148" s="802">
        <f t="shared" si="120"/>
        <v>0.85499999999999998</v>
      </c>
      <c r="R148" s="802">
        <f t="shared" si="120"/>
        <v>0.78599999999999992</v>
      </c>
      <c r="S148" s="802">
        <f t="shared" si="120"/>
        <v>0.71699999999999986</v>
      </c>
      <c r="T148" s="802">
        <f t="shared" si="120"/>
        <v>0.64799999999999991</v>
      </c>
      <c r="U148" s="802">
        <f t="shared" si="120"/>
        <v>0.57899999999999996</v>
      </c>
      <c r="V148" s="802">
        <f t="shared" si="120"/>
        <v>0.5099999999999999</v>
      </c>
      <c r="W148" s="802">
        <f t="shared" si="120"/>
        <v>0.5099999999999999</v>
      </c>
      <c r="X148" s="802">
        <f t="shared" si="120"/>
        <v>0.5099999999999999</v>
      </c>
      <c r="Y148" s="802">
        <f t="shared" si="120"/>
        <v>0.5099999999999999</v>
      </c>
      <c r="Z148" s="802">
        <f t="shared" si="120"/>
        <v>0.5099999999999999</v>
      </c>
      <c r="AA148" s="802">
        <f t="shared" si="120"/>
        <v>0.5099999999999999</v>
      </c>
      <c r="AB148" s="802">
        <f t="shared" si="120"/>
        <v>0.5099999999999999</v>
      </c>
      <c r="AC148" s="802">
        <f t="shared" si="120"/>
        <v>0.5099999999999999</v>
      </c>
      <c r="AD148" s="802">
        <f t="shared" si="120"/>
        <v>0.5099999999999999</v>
      </c>
      <c r="AE148" s="802">
        <f t="shared" si="120"/>
        <v>0.5099999999999999</v>
      </c>
      <c r="AF148" s="802">
        <f t="shared" si="120"/>
        <v>0.5099999999999999</v>
      </c>
      <c r="AG148" s="802">
        <f t="shared" si="120"/>
        <v>0.5099999999999999</v>
      </c>
      <c r="AH148" s="802">
        <f t="shared" si="120"/>
        <v>0.5099999999999999</v>
      </c>
      <c r="AI148" s="802">
        <f t="shared" si="120"/>
        <v>0.5099999999999999</v>
      </c>
      <c r="AJ148" s="802">
        <f t="shared" si="120"/>
        <v>0.5099999999999999</v>
      </c>
      <c r="AK148" s="802">
        <f t="shared" si="120"/>
        <v>0.5099999999999999</v>
      </c>
      <c r="AL148" s="802">
        <f t="shared" si="120"/>
        <v>0.5099999999999999</v>
      </c>
      <c r="AM148" s="802">
        <f t="shared" ref="AM148:BR148" si="121">AM58+AM116</f>
        <v>0.5099999999999999</v>
      </c>
      <c r="AN148" s="802">
        <f t="shared" si="121"/>
        <v>0.5099999999999999</v>
      </c>
      <c r="AO148" s="802">
        <f t="shared" si="121"/>
        <v>0.5099999999999999</v>
      </c>
      <c r="AP148" s="802">
        <f t="shared" si="121"/>
        <v>0.5099999999999999</v>
      </c>
      <c r="AQ148" s="802">
        <f t="shared" si="121"/>
        <v>0.5099999999999999</v>
      </c>
      <c r="AR148" s="802">
        <f t="shared" si="121"/>
        <v>0.5099999999999999</v>
      </c>
      <c r="AS148" s="802">
        <f t="shared" si="121"/>
        <v>0.5099999999999999</v>
      </c>
      <c r="AT148" s="802">
        <f t="shared" si="121"/>
        <v>0.5099999999999999</v>
      </c>
      <c r="AU148" s="802">
        <f t="shared" si="121"/>
        <v>0.5099999999999999</v>
      </c>
      <c r="AV148" s="802">
        <f t="shared" si="121"/>
        <v>0.5099999999999999</v>
      </c>
      <c r="AW148" s="802">
        <f t="shared" si="121"/>
        <v>0.5099999999999999</v>
      </c>
      <c r="AX148" s="802">
        <f t="shared" si="121"/>
        <v>0.5099999999999999</v>
      </c>
      <c r="AY148" s="802">
        <f t="shared" si="121"/>
        <v>0.5099999999999999</v>
      </c>
      <c r="AZ148" s="802">
        <f t="shared" si="121"/>
        <v>0.5099999999999999</v>
      </c>
      <c r="BA148" s="802">
        <f t="shared" si="121"/>
        <v>0.5099999999999999</v>
      </c>
      <c r="BB148" s="802">
        <f t="shared" si="121"/>
        <v>0.5099999999999999</v>
      </c>
      <c r="BC148" s="802">
        <f t="shared" si="121"/>
        <v>0.5099999999999999</v>
      </c>
      <c r="BD148" s="802">
        <f t="shared" si="121"/>
        <v>0.5099999999999999</v>
      </c>
      <c r="BE148" s="802">
        <f t="shared" si="121"/>
        <v>0.5099999999999999</v>
      </c>
      <c r="BF148" s="802">
        <f t="shared" si="121"/>
        <v>0.5099999999999999</v>
      </c>
      <c r="BG148" s="802">
        <f t="shared" si="121"/>
        <v>0.5099999999999999</v>
      </c>
      <c r="BH148" s="802">
        <f t="shared" si="121"/>
        <v>0.5099999999999999</v>
      </c>
      <c r="BI148" s="802">
        <f t="shared" si="121"/>
        <v>0.5099999999999999</v>
      </c>
      <c r="BJ148" s="802">
        <f t="shared" si="121"/>
        <v>0.5099999999999999</v>
      </c>
      <c r="BK148" s="802">
        <f t="shared" si="121"/>
        <v>0.5099999999999999</v>
      </c>
      <c r="BL148" s="802">
        <f t="shared" si="121"/>
        <v>0.5099999999999999</v>
      </c>
      <c r="BM148" s="802">
        <f t="shared" si="121"/>
        <v>0.5099999999999999</v>
      </c>
      <c r="BN148" s="802">
        <f t="shared" si="121"/>
        <v>0.5099999999999999</v>
      </c>
      <c r="BO148" s="802">
        <f t="shared" si="121"/>
        <v>0.5099999999999999</v>
      </c>
      <c r="BP148" s="802">
        <f t="shared" si="121"/>
        <v>0.5099999999999999</v>
      </c>
      <c r="BQ148" s="802">
        <f t="shared" si="121"/>
        <v>0.5099999999999999</v>
      </c>
      <c r="BR148" s="802">
        <f t="shared" si="121"/>
        <v>0.5099999999999999</v>
      </c>
      <c r="BS148" s="802">
        <f t="shared" ref="BS148:CI148" si="122">BS58+BS116</f>
        <v>0.5099999999999999</v>
      </c>
      <c r="BT148" s="802">
        <f t="shared" si="122"/>
        <v>0.5099999999999999</v>
      </c>
      <c r="BU148" s="802">
        <f t="shared" si="122"/>
        <v>0.5099999999999999</v>
      </c>
      <c r="BV148" s="802">
        <f t="shared" si="122"/>
        <v>0.5099999999999999</v>
      </c>
      <c r="BW148" s="802">
        <f t="shared" si="122"/>
        <v>0.5099999999999999</v>
      </c>
      <c r="BX148" s="802">
        <f t="shared" si="122"/>
        <v>0.5099999999999999</v>
      </c>
      <c r="BY148" s="802">
        <f t="shared" si="122"/>
        <v>0.5099999999999999</v>
      </c>
      <c r="BZ148" s="802">
        <f t="shared" si="122"/>
        <v>0.5099999999999999</v>
      </c>
      <c r="CA148" s="802">
        <f t="shared" si="122"/>
        <v>0.5099999999999999</v>
      </c>
      <c r="CB148" s="802">
        <f t="shared" si="122"/>
        <v>0.5099999999999999</v>
      </c>
      <c r="CC148" s="802">
        <f t="shared" si="122"/>
        <v>0.5099999999999999</v>
      </c>
      <c r="CD148" s="802">
        <f t="shared" si="122"/>
        <v>0.5099999999999999</v>
      </c>
      <c r="CE148" s="802">
        <f t="shared" si="122"/>
        <v>0.5099999999999999</v>
      </c>
      <c r="CF148" s="802">
        <f t="shared" si="122"/>
        <v>0.5099999999999999</v>
      </c>
      <c r="CG148" s="802">
        <f t="shared" si="122"/>
        <v>0.5099999999999999</v>
      </c>
      <c r="CH148" s="802">
        <f t="shared" si="122"/>
        <v>0.5099999999999999</v>
      </c>
      <c r="CI148" s="803">
        <f t="shared" si="122"/>
        <v>0.5099999999999999</v>
      </c>
      <c r="CJ148" s="1478"/>
      <c r="CK148" s="1478"/>
      <c r="CL148" s="1478"/>
      <c r="CM148" s="1478"/>
      <c r="CN148" s="1478"/>
      <c r="CO148" s="1478"/>
      <c r="CP148" s="1478"/>
      <c r="CQ148" s="1478"/>
      <c r="CR148" s="1478"/>
      <c r="CS148" s="1478"/>
    </row>
    <row r="149" spans="2:97" x14ac:dyDescent="0.35">
      <c r="B149" s="804" t="s">
        <v>600</v>
      </c>
      <c r="C149" s="805" t="s">
        <v>386</v>
      </c>
      <c r="D149" s="799" t="s">
        <v>601</v>
      </c>
      <c r="E149" s="800" t="s">
        <v>305</v>
      </c>
      <c r="F149" s="801">
        <v>2</v>
      </c>
      <c r="G149" s="642">
        <f t="shared" ref="G149:AL149" si="123">G59+G117</f>
        <v>0.12</v>
      </c>
      <c r="H149" s="642">
        <f t="shared" si="123"/>
        <v>0.12</v>
      </c>
      <c r="I149" s="642">
        <f t="shared" si="123"/>
        <v>0.12</v>
      </c>
      <c r="J149" s="642">
        <f t="shared" si="123"/>
        <v>0.12</v>
      </c>
      <c r="K149" s="642">
        <f t="shared" si="123"/>
        <v>0.12</v>
      </c>
      <c r="L149" s="642">
        <f t="shared" si="123"/>
        <v>0.12</v>
      </c>
      <c r="M149" s="802">
        <f t="shared" si="123"/>
        <v>0.12</v>
      </c>
      <c r="N149" s="802">
        <f t="shared" si="123"/>
        <v>0.12</v>
      </c>
      <c r="O149" s="802">
        <f t="shared" si="123"/>
        <v>0.12</v>
      </c>
      <c r="P149" s="802">
        <f t="shared" si="123"/>
        <v>0.12</v>
      </c>
      <c r="Q149" s="802">
        <f t="shared" si="123"/>
        <v>0.12</v>
      </c>
      <c r="R149" s="802">
        <f t="shared" si="123"/>
        <v>0.12</v>
      </c>
      <c r="S149" s="802">
        <f t="shared" si="123"/>
        <v>0.12</v>
      </c>
      <c r="T149" s="802">
        <f t="shared" si="123"/>
        <v>0.12</v>
      </c>
      <c r="U149" s="802">
        <f t="shared" si="123"/>
        <v>0.12</v>
      </c>
      <c r="V149" s="802">
        <f t="shared" si="123"/>
        <v>0.12</v>
      </c>
      <c r="W149" s="802">
        <f t="shared" si="123"/>
        <v>0.12</v>
      </c>
      <c r="X149" s="802">
        <f t="shared" si="123"/>
        <v>0.12</v>
      </c>
      <c r="Y149" s="802">
        <f t="shared" si="123"/>
        <v>0.12</v>
      </c>
      <c r="Z149" s="802">
        <f t="shared" si="123"/>
        <v>0.12</v>
      </c>
      <c r="AA149" s="802">
        <f t="shared" si="123"/>
        <v>0.12</v>
      </c>
      <c r="AB149" s="802">
        <f t="shared" si="123"/>
        <v>0.12</v>
      </c>
      <c r="AC149" s="802">
        <f t="shared" si="123"/>
        <v>0.12</v>
      </c>
      <c r="AD149" s="802">
        <f t="shared" si="123"/>
        <v>0.12</v>
      </c>
      <c r="AE149" s="802">
        <f t="shared" si="123"/>
        <v>0.12</v>
      </c>
      <c r="AF149" s="802">
        <f t="shared" si="123"/>
        <v>0.12</v>
      </c>
      <c r="AG149" s="802">
        <f t="shared" si="123"/>
        <v>0.12</v>
      </c>
      <c r="AH149" s="802">
        <f t="shared" si="123"/>
        <v>0.12</v>
      </c>
      <c r="AI149" s="802">
        <f t="shared" si="123"/>
        <v>0.12</v>
      </c>
      <c r="AJ149" s="802">
        <f t="shared" si="123"/>
        <v>0.12</v>
      </c>
      <c r="AK149" s="802">
        <f t="shared" si="123"/>
        <v>0.12</v>
      </c>
      <c r="AL149" s="802">
        <f t="shared" si="123"/>
        <v>0.12</v>
      </c>
      <c r="AM149" s="802">
        <f t="shared" ref="AM149:BR149" si="124">AM59+AM117</f>
        <v>0.12</v>
      </c>
      <c r="AN149" s="802">
        <f t="shared" si="124"/>
        <v>0.12</v>
      </c>
      <c r="AO149" s="802">
        <f t="shared" si="124"/>
        <v>0.12</v>
      </c>
      <c r="AP149" s="802">
        <f t="shared" si="124"/>
        <v>0.12</v>
      </c>
      <c r="AQ149" s="802">
        <f t="shared" si="124"/>
        <v>0.12</v>
      </c>
      <c r="AR149" s="802">
        <f t="shared" si="124"/>
        <v>0.12</v>
      </c>
      <c r="AS149" s="802">
        <f t="shared" si="124"/>
        <v>0.12</v>
      </c>
      <c r="AT149" s="802">
        <f t="shared" si="124"/>
        <v>0.12</v>
      </c>
      <c r="AU149" s="802">
        <f t="shared" si="124"/>
        <v>0.12</v>
      </c>
      <c r="AV149" s="802">
        <f t="shared" si="124"/>
        <v>0.12</v>
      </c>
      <c r="AW149" s="802">
        <f t="shared" si="124"/>
        <v>0.12</v>
      </c>
      <c r="AX149" s="802">
        <f t="shared" si="124"/>
        <v>0.12</v>
      </c>
      <c r="AY149" s="802">
        <f t="shared" si="124"/>
        <v>0.12</v>
      </c>
      <c r="AZ149" s="802">
        <f t="shared" si="124"/>
        <v>0.12</v>
      </c>
      <c r="BA149" s="802">
        <f t="shared" si="124"/>
        <v>0.12</v>
      </c>
      <c r="BB149" s="802">
        <f t="shared" si="124"/>
        <v>0.12</v>
      </c>
      <c r="BC149" s="802">
        <f t="shared" si="124"/>
        <v>0.12</v>
      </c>
      <c r="BD149" s="802">
        <f t="shared" si="124"/>
        <v>0.12</v>
      </c>
      <c r="BE149" s="802">
        <f t="shared" si="124"/>
        <v>0.12</v>
      </c>
      <c r="BF149" s="802">
        <f t="shared" si="124"/>
        <v>0.12</v>
      </c>
      <c r="BG149" s="802">
        <f t="shared" si="124"/>
        <v>0.12</v>
      </c>
      <c r="BH149" s="802">
        <f t="shared" si="124"/>
        <v>0.12</v>
      </c>
      <c r="BI149" s="802">
        <f t="shared" si="124"/>
        <v>0.12</v>
      </c>
      <c r="BJ149" s="802">
        <f t="shared" si="124"/>
        <v>0.12</v>
      </c>
      <c r="BK149" s="802">
        <f t="shared" si="124"/>
        <v>0.12</v>
      </c>
      <c r="BL149" s="802">
        <f t="shared" si="124"/>
        <v>0.12</v>
      </c>
      <c r="BM149" s="802">
        <f t="shared" si="124"/>
        <v>0.12</v>
      </c>
      <c r="BN149" s="802">
        <f t="shared" si="124"/>
        <v>0.12</v>
      </c>
      <c r="BO149" s="802">
        <f t="shared" si="124"/>
        <v>0.12</v>
      </c>
      <c r="BP149" s="802">
        <f t="shared" si="124"/>
        <v>0.12</v>
      </c>
      <c r="BQ149" s="802">
        <f t="shared" si="124"/>
        <v>0.12</v>
      </c>
      <c r="BR149" s="802">
        <f t="shared" si="124"/>
        <v>0.12</v>
      </c>
      <c r="BS149" s="802">
        <f t="shared" ref="BS149:CI149" si="125">BS59+BS117</f>
        <v>0.12</v>
      </c>
      <c r="BT149" s="802">
        <f t="shared" si="125"/>
        <v>0.12</v>
      </c>
      <c r="BU149" s="802">
        <f t="shared" si="125"/>
        <v>0.12</v>
      </c>
      <c r="BV149" s="802">
        <f t="shared" si="125"/>
        <v>0.12</v>
      </c>
      <c r="BW149" s="802">
        <f t="shared" si="125"/>
        <v>0.12</v>
      </c>
      <c r="BX149" s="802">
        <f t="shared" si="125"/>
        <v>0.12</v>
      </c>
      <c r="BY149" s="802">
        <f t="shared" si="125"/>
        <v>0.12</v>
      </c>
      <c r="BZ149" s="802">
        <f t="shared" si="125"/>
        <v>0.12</v>
      </c>
      <c r="CA149" s="802">
        <f t="shared" si="125"/>
        <v>0.12</v>
      </c>
      <c r="CB149" s="802">
        <f t="shared" si="125"/>
        <v>0.12</v>
      </c>
      <c r="CC149" s="802">
        <f t="shared" si="125"/>
        <v>0.12</v>
      </c>
      <c r="CD149" s="802">
        <f t="shared" si="125"/>
        <v>0.12</v>
      </c>
      <c r="CE149" s="802">
        <f t="shared" si="125"/>
        <v>0.12</v>
      </c>
      <c r="CF149" s="802">
        <f t="shared" si="125"/>
        <v>0.12</v>
      </c>
      <c r="CG149" s="802">
        <f t="shared" si="125"/>
        <v>0.12</v>
      </c>
      <c r="CH149" s="802">
        <f t="shared" si="125"/>
        <v>0.12</v>
      </c>
      <c r="CI149" s="803">
        <f t="shared" si="125"/>
        <v>0.12</v>
      </c>
      <c r="CJ149" s="1478"/>
      <c r="CK149" s="1478"/>
      <c r="CL149" s="1478"/>
      <c r="CM149" s="1478"/>
      <c r="CN149" s="1478"/>
      <c r="CO149" s="1478"/>
      <c r="CP149" s="1478"/>
      <c r="CQ149" s="1478"/>
      <c r="CR149" s="1478"/>
      <c r="CS149" s="1478"/>
    </row>
    <row r="150" spans="2:97" x14ac:dyDescent="0.35">
      <c r="B150" s="804" t="s">
        <v>602</v>
      </c>
      <c r="C150" s="798" t="s">
        <v>388</v>
      </c>
      <c r="D150" s="799" t="s">
        <v>603</v>
      </c>
      <c r="E150" s="800" t="s">
        <v>305</v>
      </c>
      <c r="F150" s="801">
        <v>2</v>
      </c>
      <c r="G150" s="642">
        <f t="shared" ref="G150:AL150" si="126">G60+G118</f>
        <v>9.41</v>
      </c>
      <c r="H150" s="642">
        <f t="shared" si="126"/>
        <v>9.3800000000000008</v>
      </c>
      <c r="I150" s="642">
        <f t="shared" si="126"/>
        <v>9.3000000000000007</v>
      </c>
      <c r="J150" s="642">
        <f t="shared" si="126"/>
        <v>9.3000000000000007</v>
      </c>
      <c r="K150" s="642">
        <f t="shared" si="126"/>
        <v>9.3000000000000007</v>
      </c>
      <c r="L150" s="642">
        <f t="shared" si="126"/>
        <v>8.99</v>
      </c>
      <c r="M150" s="802">
        <f t="shared" si="126"/>
        <v>8.5519999999999996</v>
      </c>
      <c r="N150" s="802">
        <f t="shared" si="126"/>
        <v>8.1140000000000008</v>
      </c>
      <c r="O150" s="802">
        <f t="shared" si="126"/>
        <v>7.6760000000000002</v>
      </c>
      <c r="P150" s="802">
        <f t="shared" si="126"/>
        <v>7.2380000000000004</v>
      </c>
      <c r="Q150" s="802">
        <f t="shared" si="126"/>
        <v>6.8000000000000007</v>
      </c>
      <c r="R150" s="802">
        <f t="shared" si="126"/>
        <v>6.5</v>
      </c>
      <c r="S150" s="802">
        <f t="shared" si="126"/>
        <v>6.2</v>
      </c>
      <c r="T150" s="802">
        <f t="shared" si="126"/>
        <v>5.9</v>
      </c>
      <c r="U150" s="802">
        <f t="shared" si="126"/>
        <v>5.6000000000000005</v>
      </c>
      <c r="V150" s="802">
        <f t="shared" si="126"/>
        <v>5.3</v>
      </c>
      <c r="W150" s="802">
        <f t="shared" si="126"/>
        <v>4.9420000000000002</v>
      </c>
      <c r="X150" s="802">
        <f t="shared" si="126"/>
        <v>4.5839999999999996</v>
      </c>
      <c r="Y150" s="802">
        <f t="shared" si="126"/>
        <v>4.226</v>
      </c>
      <c r="Z150" s="802">
        <f t="shared" si="126"/>
        <v>3.8680000000000003</v>
      </c>
      <c r="AA150" s="802">
        <f t="shared" si="126"/>
        <v>3.51</v>
      </c>
      <c r="AB150" s="802">
        <f t="shared" si="126"/>
        <v>3.51</v>
      </c>
      <c r="AC150" s="802">
        <f t="shared" si="126"/>
        <v>3.51</v>
      </c>
      <c r="AD150" s="802">
        <f t="shared" si="126"/>
        <v>3.51</v>
      </c>
      <c r="AE150" s="802">
        <f t="shared" si="126"/>
        <v>3.51</v>
      </c>
      <c r="AF150" s="802">
        <f t="shared" si="126"/>
        <v>3.51</v>
      </c>
      <c r="AG150" s="802">
        <f t="shared" si="126"/>
        <v>3.51</v>
      </c>
      <c r="AH150" s="802">
        <f t="shared" si="126"/>
        <v>3.51</v>
      </c>
      <c r="AI150" s="802">
        <f t="shared" si="126"/>
        <v>3.51</v>
      </c>
      <c r="AJ150" s="802">
        <f t="shared" si="126"/>
        <v>3.51</v>
      </c>
      <c r="AK150" s="802">
        <f t="shared" si="126"/>
        <v>3.51</v>
      </c>
      <c r="AL150" s="802">
        <f t="shared" si="126"/>
        <v>3.51</v>
      </c>
      <c r="AM150" s="802">
        <f t="shared" ref="AM150:BR150" si="127">AM60+AM118</f>
        <v>3.51</v>
      </c>
      <c r="AN150" s="802">
        <f t="shared" si="127"/>
        <v>3.51</v>
      </c>
      <c r="AO150" s="802">
        <f t="shared" si="127"/>
        <v>3.51</v>
      </c>
      <c r="AP150" s="802">
        <f t="shared" si="127"/>
        <v>3.51</v>
      </c>
      <c r="AQ150" s="802">
        <f t="shared" si="127"/>
        <v>3.51</v>
      </c>
      <c r="AR150" s="802">
        <f t="shared" si="127"/>
        <v>3.51</v>
      </c>
      <c r="AS150" s="802">
        <f t="shared" si="127"/>
        <v>3.51</v>
      </c>
      <c r="AT150" s="802">
        <f t="shared" si="127"/>
        <v>3.51</v>
      </c>
      <c r="AU150" s="802">
        <f t="shared" si="127"/>
        <v>3.51</v>
      </c>
      <c r="AV150" s="802">
        <f t="shared" si="127"/>
        <v>3.51</v>
      </c>
      <c r="AW150" s="802">
        <f t="shared" si="127"/>
        <v>3.51</v>
      </c>
      <c r="AX150" s="802">
        <f t="shared" si="127"/>
        <v>3.51</v>
      </c>
      <c r="AY150" s="802">
        <f t="shared" si="127"/>
        <v>3.51</v>
      </c>
      <c r="AZ150" s="802">
        <f t="shared" si="127"/>
        <v>3.51</v>
      </c>
      <c r="BA150" s="802">
        <f t="shared" si="127"/>
        <v>3.51</v>
      </c>
      <c r="BB150" s="802">
        <f t="shared" si="127"/>
        <v>3.51</v>
      </c>
      <c r="BC150" s="802">
        <f t="shared" si="127"/>
        <v>3.51</v>
      </c>
      <c r="BD150" s="802">
        <f t="shared" si="127"/>
        <v>3.51</v>
      </c>
      <c r="BE150" s="802">
        <f t="shared" si="127"/>
        <v>3.51</v>
      </c>
      <c r="BF150" s="802">
        <f t="shared" si="127"/>
        <v>3.51</v>
      </c>
      <c r="BG150" s="802">
        <f t="shared" si="127"/>
        <v>3.51</v>
      </c>
      <c r="BH150" s="802">
        <f t="shared" si="127"/>
        <v>3.51</v>
      </c>
      <c r="BI150" s="802">
        <f t="shared" si="127"/>
        <v>3.51</v>
      </c>
      <c r="BJ150" s="802">
        <f t="shared" si="127"/>
        <v>3.51</v>
      </c>
      <c r="BK150" s="802">
        <f t="shared" si="127"/>
        <v>3.51</v>
      </c>
      <c r="BL150" s="802">
        <f t="shared" si="127"/>
        <v>3.51</v>
      </c>
      <c r="BM150" s="802">
        <f t="shared" si="127"/>
        <v>3.51</v>
      </c>
      <c r="BN150" s="802">
        <f t="shared" si="127"/>
        <v>3.51</v>
      </c>
      <c r="BO150" s="802">
        <f t="shared" si="127"/>
        <v>3.51</v>
      </c>
      <c r="BP150" s="802">
        <f t="shared" si="127"/>
        <v>3.51</v>
      </c>
      <c r="BQ150" s="802">
        <f t="shared" si="127"/>
        <v>3.51</v>
      </c>
      <c r="BR150" s="802">
        <f t="shared" si="127"/>
        <v>3.51</v>
      </c>
      <c r="BS150" s="802">
        <f t="shared" ref="BS150:CI150" si="128">BS60+BS118</f>
        <v>3.51</v>
      </c>
      <c r="BT150" s="802">
        <f t="shared" si="128"/>
        <v>3.51</v>
      </c>
      <c r="BU150" s="802">
        <f t="shared" si="128"/>
        <v>3.51</v>
      </c>
      <c r="BV150" s="802">
        <f t="shared" si="128"/>
        <v>3.51</v>
      </c>
      <c r="BW150" s="802">
        <f t="shared" si="128"/>
        <v>3.51</v>
      </c>
      <c r="BX150" s="802">
        <f t="shared" si="128"/>
        <v>3.51</v>
      </c>
      <c r="BY150" s="802">
        <f t="shared" si="128"/>
        <v>3.51</v>
      </c>
      <c r="BZ150" s="802">
        <f t="shared" si="128"/>
        <v>3.51</v>
      </c>
      <c r="CA150" s="802">
        <f t="shared" si="128"/>
        <v>3.51</v>
      </c>
      <c r="CB150" s="802">
        <f t="shared" si="128"/>
        <v>3.51</v>
      </c>
      <c r="CC150" s="802">
        <f t="shared" si="128"/>
        <v>3.51</v>
      </c>
      <c r="CD150" s="802">
        <f t="shared" si="128"/>
        <v>3.51</v>
      </c>
      <c r="CE150" s="802">
        <f t="shared" si="128"/>
        <v>3.51</v>
      </c>
      <c r="CF150" s="802">
        <f t="shared" si="128"/>
        <v>3.51</v>
      </c>
      <c r="CG150" s="802">
        <f t="shared" si="128"/>
        <v>3.51</v>
      </c>
      <c r="CH150" s="802">
        <f t="shared" si="128"/>
        <v>3.51</v>
      </c>
      <c r="CI150" s="803">
        <f t="shared" si="128"/>
        <v>3.51</v>
      </c>
      <c r="CJ150" s="1478"/>
      <c r="CK150" s="1478"/>
      <c r="CL150" s="1478"/>
      <c r="CM150" s="1478"/>
      <c r="CN150" s="1478"/>
      <c r="CO150" s="1478"/>
      <c r="CP150" s="1478"/>
      <c r="CQ150" s="1478"/>
      <c r="CR150" s="1478"/>
      <c r="CS150" s="1478"/>
    </row>
    <row r="151" spans="2:97" x14ac:dyDescent="0.35">
      <c r="B151" s="804" t="s">
        <v>604</v>
      </c>
      <c r="C151" s="798" t="s">
        <v>390</v>
      </c>
      <c r="D151" s="799" t="s">
        <v>605</v>
      </c>
      <c r="E151" s="800" t="s">
        <v>305</v>
      </c>
      <c r="F151" s="801">
        <v>2</v>
      </c>
      <c r="G151" s="642">
        <f>SUM(G145:G150)</f>
        <v>13.5</v>
      </c>
      <c r="H151" s="642">
        <f t="shared" ref="H151:BS151" si="129">SUM(H145:H150)</f>
        <v>13.5</v>
      </c>
      <c r="I151" s="642">
        <f t="shared" si="129"/>
        <v>13.510000000000002</v>
      </c>
      <c r="J151" s="642">
        <f t="shared" si="129"/>
        <v>13.510000000000002</v>
      </c>
      <c r="K151" s="642">
        <f t="shared" si="129"/>
        <v>13.510000000000002</v>
      </c>
      <c r="L151" s="642">
        <f t="shared" si="129"/>
        <v>13.2</v>
      </c>
      <c r="M151" s="802">
        <f t="shared" si="129"/>
        <v>12.719999999999999</v>
      </c>
      <c r="N151" s="802">
        <f t="shared" si="129"/>
        <v>12.240000000000002</v>
      </c>
      <c r="O151" s="802">
        <f t="shared" si="129"/>
        <v>11.76</v>
      </c>
      <c r="P151" s="802">
        <f t="shared" si="129"/>
        <v>11.280000000000001</v>
      </c>
      <c r="Q151" s="802">
        <f t="shared" si="129"/>
        <v>10.8</v>
      </c>
      <c r="R151" s="802">
        <f t="shared" si="129"/>
        <v>10.458</v>
      </c>
      <c r="S151" s="802">
        <f t="shared" si="129"/>
        <v>10.116</v>
      </c>
      <c r="T151" s="802">
        <f t="shared" si="129"/>
        <v>9.7740000000000009</v>
      </c>
      <c r="U151" s="802">
        <f t="shared" si="129"/>
        <v>9.4320000000000004</v>
      </c>
      <c r="V151" s="802">
        <f t="shared" si="129"/>
        <v>9.09</v>
      </c>
      <c r="W151" s="802">
        <f t="shared" si="129"/>
        <v>8.7319999999999993</v>
      </c>
      <c r="X151" s="802">
        <f t="shared" si="129"/>
        <v>8.3739999999999988</v>
      </c>
      <c r="Y151" s="802">
        <f t="shared" si="129"/>
        <v>8.016</v>
      </c>
      <c r="Z151" s="802">
        <f t="shared" si="129"/>
        <v>7.6580000000000004</v>
      </c>
      <c r="AA151" s="802">
        <f t="shared" si="129"/>
        <v>7.3</v>
      </c>
      <c r="AB151" s="802">
        <f t="shared" si="129"/>
        <v>7.3</v>
      </c>
      <c r="AC151" s="802">
        <f t="shared" si="129"/>
        <v>7.3</v>
      </c>
      <c r="AD151" s="802">
        <f t="shared" si="129"/>
        <v>7.3</v>
      </c>
      <c r="AE151" s="802">
        <f t="shared" si="129"/>
        <v>7.3</v>
      </c>
      <c r="AF151" s="802">
        <f t="shared" si="129"/>
        <v>7.3</v>
      </c>
      <c r="AG151" s="802">
        <f t="shared" si="129"/>
        <v>7.3</v>
      </c>
      <c r="AH151" s="802">
        <f t="shared" si="129"/>
        <v>7.3</v>
      </c>
      <c r="AI151" s="802">
        <f t="shared" si="129"/>
        <v>7.3</v>
      </c>
      <c r="AJ151" s="802">
        <f t="shared" si="129"/>
        <v>7.3</v>
      </c>
      <c r="AK151" s="802">
        <f t="shared" si="129"/>
        <v>7.3</v>
      </c>
      <c r="AL151" s="802">
        <f t="shared" si="129"/>
        <v>7.3</v>
      </c>
      <c r="AM151" s="802">
        <f t="shared" si="129"/>
        <v>7.3</v>
      </c>
      <c r="AN151" s="802">
        <f t="shared" si="129"/>
        <v>7.3</v>
      </c>
      <c r="AO151" s="802">
        <f t="shared" si="129"/>
        <v>7.3</v>
      </c>
      <c r="AP151" s="802">
        <f t="shared" si="129"/>
        <v>7.3</v>
      </c>
      <c r="AQ151" s="802">
        <f t="shared" si="129"/>
        <v>7.3</v>
      </c>
      <c r="AR151" s="802">
        <f t="shared" si="129"/>
        <v>7.3</v>
      </c>
      <c r="AS151" s="802">
        <f t="shared" si="129"/>
        <v>7.3</v>
      </c>
      <c r="AT151" s="802">
        <f t="shared" si="129"/>
        <v>7.3</v>
      </c>
      <c r="AU151" s="802">
        <f t="shared" si="129"/>
        <v>7.3</v>
      </c>
      <c r="AV151" s="802">
        <f t="shared" si="129"/>
        <v>7.3</v>
      </c>
      <c r="AW151" s="802">
        <f t="shared" si="129"/>
        <v>7.3</v>
      </c>
      <c r="AX151" s="802">
        <f t="shared" si="129"/>
        <v>7.3</v>
      </c>
      <c r="AY151" s="802">
        <f t="shared" si="129"/>
        <v>7.3</v>
      </c>
      <c r="AZ151" s="802">
        <f t="shared" si="129"/>
        <v>7.3</v>
      </c>
      <c r="BA151" s="802">
        <f t="shared" si="129"/>
        <v>7.3</v>
      </c>
      <c r="BB151" s="802">
        <f t="shared" si="129"/>
        <v>7.3</v>
      </c>
      <c r="BC151" s="802">
        <f t="shared" si="129"/>
        <v>7.3</v>
      </c>
      <c r="BD151" s="802">
        <f t="shared" si="129"/>
        <v>7.3</v>
      </c>
      <c r="BE151" s="802">
        <f t="shared" si="129"/>
        <v>7.3</v>
      </c>
      <c r="BF151" s="802">
        <f t="shared" si="129"/>
        <v>7.3</v>
      </c>
      <c r="BG151" s="802">
        <f t="shared" si="129"/>
        <v>7.3</v>
      </c>
      <c r="BH151" s="802">
        <f t="shared" si="129"/>
        <v>7.3</v>
      </c>
      <c r="BI151" s="802">
        <f t="shared" si="129"/>
        <v>7.3</v>
      </c>
      <c r="BJ151" s="802">
        <f t="shared" si="129"/>
        <v>7.3</v>
      </c>
      <c r="BK151" s="802">
        <f t="shared" si="129"/>
        <v>7.3</v>
      </c>
      <c r="BL151" s="802">
        <f t="shared" si="129"/>
        <v>7.3</v>
      </c>
      <c r="BM151" s="802">
        <f t="shared" si="129"/>
        <v>7.3</v>
      </c>
      <c r="BN151" s="802">
        <f t="shared" si="129"/>
        <v>7.3</v>
      </c>
      <c r="BO151" s="802">
        <f t="shared" si="129"/>
        <v>7.3</v>
      </c>
      <c r="BP151" s="802">
        <f t="shared" si="129"/>
        <v>7.3</v>
      </c>
      <c r="BQ151" s="802">
        <f t="shared" si="129"/>
        <v>7.3</v>
      </c>
      <c r="BR151" s="802">
        <f t="shared" si="129"/>
        <v>7.3</v>
      </c>
      <c r="BS151" s="802">
        <f t="shared" si="129"/>
        <v>7.3</v>
      </c>
      <c r="BT151" s="802">
        <f t="shared" ref="BT151:CI151" si="130">SUM(BT145:BT150)</f>
        <v>7.3</v>
      </c>
      <c r="BU151" s="802">
        <f t="shared" si="130"/>
        <v>7.3</v>
      </c>
      <c r="BV151" s="802">
        <f t="shared" si="130"/>
        <v>7.3</v>
      </c>
      <c r="BW151" s="802">
        <f t="shared" si="130"/>
        <v>7.3</v>
      </c>
      <c r="BX151" s="802">
        <f t="shared" si="130"/>
        <v>7.3</v>
      </c>
      <c r="BY151" s="802">
        <f t="shared" si="130"/>
        <v>7.3</v>
      </c>
      <c r="BZ151" s="802">
        <f t="shared" si="130"/>
        <v>7.3</v>
      </c>
      <c r="CA151" s="802">
        <f t="shared" si="130"/>
        <v>7.3</v>
      </c>
      <c r="CB151" s="802">
        <f t="shared" si="130"/>
        <v>7.3</v>
      </c>
      <c r="CC151" s="802">
        <f t="shared" si="130"/>
        <v>7.3</v>
      </c>
      <c r="CD151" s="802">
        <f t="shared" si="130"/>
        <v>7.3</v>
      </c>
      <c r="CE151" s="802">
        <f t="shared" si="130"/>
        <v>7.3</v>
      </c>
      <c r="CF151" s="802">
        <f t="shared" si="130"/>
        <v>7.3</v>
      </c>
      <c r="CG151" s="802">
        <f t="shared" si="130"/>
        <v>7.3</v>
      </c>
      <c r="CH151" s="802">
        <f t="shared" si="130"/>
        <v>7.3</v>
      </c>
      <c r="CI151" s="803">
        <f t="shared" si="130"/>
        <v>7.3</v>
      </c>
      <c r="CJ151" s="1478"/>
      <c r="CK151" s="1478"/>
      <c r="CL151" s="1478"/>
      <c r="CM151" s="1478"/>
      <c r="CN151" s="1478"/>
      <c r="CO151" s="1478"/>
      <c r="CP151" s="1478"/>
      <c r="CQ151" s="1478"/>
      <c r="CR151" s="1478"/>
      <c r="CS151" s="1478"/>
    </row>
    <row r="152" spans="2:97" ht="14.5" thickBot="1" x14ac:dyDescent="0.4">
      <c r="B152" s="844" t="s">
        <v>606</v>
      </c>
      <c r="C152" s="845" t="s">
        <v>393</v>
      </c>
      <c r="D152" s="846" t="s">
        <v>607</v>
      </c>
      <c r="E152" s="847" t="s">
        <v>395</v>
      </c>
      <c r="F152" s="812">
        <v>2</v>
      </c>
      <c r="G152" s="813">
        <f>(G151*1000000)/(G166*1000)</f>
        <v>91.356337084582435</v>
      </c>
      <c r="H152" s="813">
        <f t="shared" ref="H152:BS152" si="131">(H151*1000000)/(H166*1000)</f>
        <v>92.415557851112382</v>
      </c>
      <c r="I152" s="813">
        <f t="shared" si="131"/>
        <v>91.880906202541965</v>
      </c>
      <c r="J152" s="813">
        <f t="shared" si="131"/>
        <v>89.970952742051765</v>
      </c>
      <c r="K152" s="813">
        <f t="shared" si="131"/>
        <v>88.317876267560251</v>
      </c>
      <c r="L152" s="813">
        <f t="shared" si="131"/>
        <v>84.721275820942807</v>
      </c>
      <c r="M152" s="842">
        <f t="shared" si="131"/>
        <v>80.079655374221502</v>
      </c>
      <c r="N152" s="842">
        <f t="shared" si="131"/>
        <v>75.869992346084558</v>
      </c>
      <c r="O152" s="842">
        <f t="shared" si="131"/>
        <v>71.579165009575021</v>
      </c>
      <c r="P152" s="842">
        <f t="shared" si="131"/>
        <v>67.482115218593094</v>
      </c>
      <c r="Q152" s="842">
        <f t="shared" si="131"/>
        <v>63.62137610084357</v>
      </c>
      <c r="R152" s="842">
        <f t="shared" si="131"/>
        <v>60.705196000749652</v>
      </c>
      <c r="S152" s="842">
        <f t="shared" si="131"/>
        <v>57.979503626928135</v>
      </c>
      <c r="T152" s="842">
        <f t="shared" si="131"/>
        <v>55.426033551716621</v>
      </c>
      <c r="U152" s="842">
        <f t="shared" si="131"/>
        <v>52.925445941383593</v>
      </c>
      <c r="V152" s="842">
        <f t="shared" si="131"/>
        <v>50.478391740087019</v>
      </c>
      <c r="W152" s="842">
        <f t="shared" si="131"/>
        <v>48.025093374843387</v>
      </c>
      <c r="X152" s="842">
        <f t="shared" si="131"/>
        <v>46.143142815879138</v>
      </c>
      <c r="Y152" s="842">
        <f t="shared" si="131"/>
        <v>43.643602721197006</v>
      </c>
      <c r="Z152" s="842">
        <f t="shared" si="131"/>
        <v>41.208537642663167</v>
      </c>
      <c r="AA152" s="842">
        <f t="shared" si="131"/>
        <v>38.830073127512833</v>
      </c>
      <c r="AB152" s="842">
        <f t="shared" si="131"/>
        <v>38.389039220588273</v>
      </c>
      <c r="AC152" s="842">
        <f t="shared" si="131"/>
        <v>37.968429699036115</v>
      </c>
      <c r="AD152" s="842">
        <f t="shared" si="131"/>
        <v>37.570835032843853</v>
      </c>
      <c r="AE152" s="842">
        <f t="shared" si="131"/>
        <v>37.190668439918149</v>
      </c>
      <c r="AF152" s="842">
        <f t="shared" si="131"/>
        <v>36.831543723437882</v>
      </c>
      <c r="AG152" s="842">
        <f t="shared" si="131"/>
        <v>36.488020615063228</v>
      </c>
      <c r="AH152" s="842">
        <f t="shared" si="131"/>
        <v>36.163872604886926</v>
      </c>
      <c r="AI152" s="842">
        <f t="shared" si="131"/>
        <v>35.853944191382617</v>
      </c>
      <c r="AJ152" s="842">
        <f t="shared" si="131"/>
        <v>35.561449958948636</v>
      </c>
      <c r="AK152" s="842">
        <f t="shared" si="131"/>
        <v>35.282236446476709</v>
      </c>
      <c r="AL152" s="842">
        <f t="shared" si="131"/>
        <v>35.109204002126553</v>
      </c>
      <c r="AM152" s="842">
        <f t="shared" si="131"/>
        <v>34.943105945777049</v>
      </c>
      <c r="AN152" s="842">
        <f t="shared" si="131"/>
        <v>34.783129988356556</v>
      </c>
      <c r="AO152" s="842">
        <f t="shared" si="131"/>
        <v>34.626824543899374</v>
      </c>
      <c r="AP152" s="842">
        <f t="shared" si="131"/>
        <v>34.4736365714475</v>
      </c>
      <c r="AQ152" s="842">
        <f t="shared" si="131"/>
        <v>34.31889928063778</v>
      </c>
      <c r="AR152" s="842">
        <f t="shared" si="131"/>
        <v>34.170623386716933</v>
      </c>
      <c r="AS152" s="842">
        <f t="shared" si="131"/>
        <v>34.031370284309119</v>
      </c>
      <c r="AT152" s="842">
        <f t="shared" si="131"/>
        <v>33.901299022699945</v>
      </c>
      <c r="AU152" s="842">
        <f t="shared" si="131"/>
        <v>33.771881037505707</v>
      </c>
      <c r="AV152" s="842">
        <f t="shared" si="131"/>
        <v>33.648275287621189</v>
      </c>
      <c r="AW152" s="842">
        <f t="shared" si="131"/>
        <v>33.527580096803945</v>
      </c>
      <c r="AX152" s="842">
        <f t="shared" si="131"/>
        <v>33.409914438385371</v>
      </c>
      <c r="AY152" s="842">
        <f t="shared" si="131"/>
        <v>33.290891700378189</v>
      </c>
      <c r="AZ152" s="842">
        <f t="shared" si="131"/>
        <v>33.172745765191422</v>
      </c>
      <c r="BA152" s="842">
        <f t="shared" si="131"/>
        <v>33.052595436817569</v>
      </c>
      <c r="BB152" s="842">
        <f t="shared" si="131"/>
        <v>32.935913974800492</v>
      </c>
      <c r="BC152" s="842">
        <f t="shared" si="131"/>
        <v>32.820740238815056</v>
      </c>
      <c r="BD152" s="842">
        <f t="shared" si="131"/>
        <v>32.707507963210183</v>
      </c>
      <c r="BE152" s="842">
        <f t="shared" si="131"/>
        <v>32.593551946019119</v>
      </c>
      <c r="BF152" s="842">
        <f t="shared" si="131"/>
        <v>32.480011758430464</v>
      </c>
      <c r="BG152" s="842">
        <f t="shared" si="131"/>
        <v>32.364974505624346</v>
      </c>
      <c r="BH152" s="842">
        <f t="shared" si="131"/>
        <v>32.251004109231467</v>
      </c>
      <c r="BI152" s="842">
        <f t="shared" si="131"/>
        <v>32.135974026899213</v>
      </c>
      <c r="BJ152" s="842">
        <f t="shared" si="131"/>
        <v>32.024030999094222</v>
      </c>
      <c r="BK152" s="842">
        <f t="shared" si="131"/>
        <v>31.91069354532512</v>
      </c>
      <c r="BL152" s="842">
        <f t="shared" si="131"/>
        <v>31.800644299247388</v>
      </c>
      <c r="BM152" s="842">
        <f t="shared" si="131"/>
        <v>31.689893321774868</v>
      </c>
      <c r="BN152" s="842">
        <f t="shared" si="131"/>
        <v>31.579011594370368</v>
      </c>
      <c r="BO152" s="842">
        <f t="shared" si="131"/>
        <v>31.466131818900415</v>
      </c>
      <c r="BP152" s="842">
        <f t="shared" si="131"/>
        <v>31.351411654895969</v>
      </c>
      <c r="BQ152" s="842">
        <f t="shared" si="131"/>
        <v>31.233471875653681</v>
      </c>
      <c r="BR152" s="842">
        <f t="shared" si="131"/>
        <v>31.115162441450991</v>
      </c>
      <c r="BS152" s="842">
        <f t="shared" si="131"/>
        <v>30.996079583198739</v>
      </c>
      <c r="BT152" s="842">
        <f t="shared" ref="BT152:CI152" si="132">(BT151*1000000)/(BT166*1000)</f>
        <v>30.877875492896756</v>
      </c>
      <c r="BU152" s="842">
        <f t="shared" si="132"/>
        <v>30.757515841951385</v>
      </c>
      <c r="BV152" s="842">
        <f t="shared" si="132"/>
        <v>30.63747620230324</v>
      </c>
      <c r="BW152" s="842">
        <f t="shared" si="132"/>
        <v>30.516954583362285</v>
      </c>
      <c r="BX152" s="842">
        <f t="shared" si="132"/>
        <v>30.397276267461336</v>
      </c>
      <c r="BY152" s="842">
        <f t="shared" si="132"/>
        <v>30.275635752095287</v>
      </c>
      <c r="BZ152" s="842">
        <f t="shared" si="132"/>
        <v>30.153367758939989</v>
      </c>
      <c r="CA152" s="842">
        <f t="shared" si="132"/>
        <v>30.030120307443511</v>
      </c>
      <c r="CB152" s="842">
        <f t="shared" si="132"/>
        <v>29.908365677963261</v>
      </c>
      <c r="CC152" s="842">
        <f t="shared" si="132"/>
        <v>29.787977449918184</v>
      </c>
      <c r="CD152" s="842">
        <f t="shared" si="132"/>
        <v>29.669013145822916</v>
      </c>
      <c r="CE152" s="842">
        <f t="shared" si="132"/>
        <v>29.549814568101439</v>
      </c>
      <c r="CF152" s="842">
        <f t="shared" si="132"/>
        <v>29.433270890638273</v>
      </c>
      <c r="CG152" s="842">
        <f t="shared" si="132"/>
        <v>29.318864703610153</v>
      </c>
      <c r="CH152" s="842">
        <f t="shared" si="132"/>
        <v>29.208262174321305</v>
      </c>
      <c r="CI152" s="843">
        <f t="shared" si="132"/>
        <v>29.098937491000093</v>
      </c>
      <c r="CJ152" s="1478"/>
      <c r="CK152" s="1478"/>
      <c r="CL152" s="1478"/>
      <c r="CM152" s="1478"/>
      <c r="CN152" s="1478"/>
      <c r="CO152" s="1478"/>
      <c r="CP152" s="1478"/>
      <c r="CQ152" s="1478"/>
      <c r="CR152" s="1478"/>
      <c r="CS152" s="1478"/>
    </row>
    <row r="153" spans="2:97" x14ac:dyDescent="0.35">
      <c r="B153" s="814" t="s">
        <v>396</v>
      </c>
      <c r="C153" s="815" t="s">
        <v>397</v>
      </c>
      <c r="D153" s="766" t="s">
        <v>82</v>
      </c>
      <c r="E153" s="848" t="s">
        <v>398</v>
      </c>
      <c r="F153" s="849">
        <v>2</v>
      </c>
      <c r="G153" s="666">
        <v>9.07</v>
      </c>
      <c r="H153" s="666">
        <v>8.1199999999999992</v>
      </c>
      <c r="I153" s="666">
        <v>8.17</v>
      </c>
      <c r="J153" s="666">
        <v>8.1999999999999993</v>
      </c>
      <c r="K153" s="666">
        <v>8.24</v>
      </c>
      <c r="L153" s="666">
        <v>8.27</v>
      </c>
      <c r="M153" s="667">
        <v>8.31</v>
      </c>
      <c r="N153" s="667">
        <v>8.34</v>
      </c>
      <c r="O153" s="667">
        <v>8.3800000000000008</v>
      </c>
      <c r="P153" s="667">
        <v>8.41</v>
      </c>
      <c r="Q153" s="667">
        <v>8.4499999999999993</v>
      </c>
      <c r="R153" s="667">
        <v>8.48</v>
      </c>
      <c r="S153" s="667">
        <v>8.52</v>
      </c>
      <c r="T153" s="667">
        <v>8.5500000000000007</v>
      </c>
      <c r="U153" s="667">
        <v>8.59</v>
      </c>
      <c r="V153" s="667">
        <v>8.6199999999999992</v>
      </c>
      <c r="W153" s="667">
        <v>8.66</v>
      </c>
      <c r="X153" s="667">
        <v>8.69</v>
      </c>
      <c r="Y153" s="667">
        <v>8.73</v>
      </c>
      <c r="Z153" s="667">
        <v>8.76</v>
      </c>
      <c r="AA153" s="667">
        <v>8.8000000000000007</v>
      </c>
      <c r="AB153" s="667">
        <v>8.83</v>
      </c>
      <c r="AC153" s="667">
        <v>8.8699999999999992</v>
      </c>
      <c r="AD153" s="667">
        <v>8.9</v>
      </c>
      <c r="AE153" s="667">
        <v>8.94</v>
      </c>
      <c r="AF153" s="667">
        <v>8.9700000000000006</v>
      </c>
      <c r="AG153" s="667">
        <v>9.01</v>
      </c>
      <c r="AH153" s="667">
        <v>9.0399999999999991</v>
      </c>
      <c r="AI153" s="667">
        <v>9.08</v>
      </c>
      <c r="AJ153" s="667">
        <v>9.11</v>
      </c>
      <c r="AK153" s="667">
        <v>9.15</v>
      </c>
      <c r="AL153" s="667">
        <v>9.18</v>
      </c>
      <c r="AM153" s="667">
        <v>9.2200000000000006</v>
      </c>
      <c r="AN153" s="667">
        <v>9.25</v>
      </c>
      <c r="AO153" s="667">
        <v>9.2899999999999991</v>
      </c>
      <c r="AP153" s="667">
        <v>9.32</v>
      </c>
      <c r="AQ153" s="667">
        <v>9.36</v>
      </c>
      <c r="AR153" s="667">
        <v>9.39</v>
      </c>
      <c r="AS153" s="667">
        <v>9.43</v>
      </c>
      <c r="AT153" s="667">
        <v>9.4600000000000009</v>
      </c>
      <c r="AU153" s="667">
        <v>9.5</v>
      </c>
      <c r="AV153" s="667">
        <v>9.5299999999999994</v>
      </c>
      <c r="AW153" s="667">
        <v>9.57</v>
      </c>
      <c r="AX153" s="667">
        <v>9.6</v>
      </c>
      <c r="AY153" s="667">
        <v>9.64</v>
      </c>
      <c r="AZ153" s="667">
        <v>9.67</v>
      </c>
      <c r="BA153" s="667">
        <v>9.7100000000000009</v>
      </c>
      <c r="BB153" s="667">
        <v>9.74</v>
      </c>
      <c r="BC153" s="667">
        <v>9.7799999999999994</v>
      </c>
      <c r="BD153" s="667">
        <v>9.81</v>
      </c>
      <c r="BE153" s="667">
        <v>9.85</v>
      </c>
      <c r="BF153" s="667">
        <v>9.8800000000000008</v>
      </c>
      <c r="BG153" s="667">
        <v>9.92</v>
      </c>
      <c r="BH153" s="667">
        <v>9.9499999999999993</v>
      </c>
      <c r="BI153" s="667">
        <v>9.99</v>
      </c>
      <c r="BJ153" s="667">
        <v>10.02</v>
      </c>
      <c r="BK153" s="667">
        <v>10.06</v>
      </c>
      <c r="BL153" s="667">
        <v>10.09</v>
      </c>
      <c r="BM153" s="667">
        <v>10.130000000000001</v>
      </c>
      <c r="BN153" s="667">
        <v>10.16</v>
      </c>
      <c r="BO153" s="667">
        <v>10.199999999999999</v>
      </c>
      <c r="BP153" s="667">
        <v>10.23</v>
      </c>
      <c r="BQ153" s="667">
        <v>10.27</v>
      </c>
      <c r="BR153" s="667">
        <v>10.3</v>
      </c>
      <c r="BS153" s="667">
        <v>10.34</v>
      </c>
      <c r="BT153" s="667">
        <v>10.37</v>
      </c>
      <c r="BU153" s="667">
        <v>10.41</v>
      </c>
      <c r="BV153" s="667">
        <v>10.44</v>
      </c>
      <c r="BW153" s="667">
        <v>10.48</v>
      </c>
      <c r="BX153" s="667">
        <v>10.51</v>
      </c>
      <c r="BY153" s="667">
        <v>10.55</v>
      </c>
      <c r="BZ153" s="667">
        <v>10.58</v>
      </c>
      <c r="CA153" s="667">
        <v>10.62</v>
      </c>
      <c r="CB153" s="667">
        <v>10.65</v>
      </c>
      <c r="CC153" s="667">
        <v>10.69</v>
      </c>
      <c r="CD153" s="667">
        <v>10.72</v>
      </c>
      <c r="CE153" s="667">
        <v>10.76</v>
      </c>
      <c r="CF153" s="667">
        <v>10.79</v>
      </c>
      <c r="CG153" s="667">
        <v>10.83</v>
      </c>
      <c r="CH153" s="667">
        <v>10.86</v>
      </c>
      <c r="CI153" s="668">
        <v>10.9</v>
      </c>
      <c r="CJ153" s="1478"/>
      <c r="CK153" s="1478"/>
      <c r="CL153" s="1478"/>
      <c r="CM153" s="1478"/>
      <c r="CN153" s="1478"/>
      <c r="CO153" s="1478"/>
      <c r="CP153" s="1478"/>
      <c r="CQ153" s="1478"/>
      <c r="CR153" s="1478"/>
      <c r="CS153" s="1478"/>
    </row>
    <row r="154" spans="2:97" x14ac:dyDescent="0.35">
      <c r="B154" s="822" t="s">
        <v>399</v>
      </c>
      <c r="C154" s="823" t="s">
        <v>400</v>
      </c>
      <c r="D154" s="770" t="s">
        <v>82</v>
      </c>
      <c r="E154" s="832" t="s">
        <v>398</v>
      </c>
      <c r="F154" s="833">
        <v>2</v>
      </c>
      <c r="G154" s="670">
        <v>0.49</v>
      </c>
      <c r="H154" s="670">
        <v>0.48</v>
      </c>
      <c r="I154" s="670">
        <v>0.48</v>
      </c>
      <c r="J154" s="670">
        <v>0.47</v>
      </c>
      <c r="K154" s="670">
        <v>0.46</v>
      </c>
      <c r="L154" s="670">
        <v>0.45</v>
      </c>
      <c r="M154" s="671">
        <v>0.44</v>
      </c>
      <c r="N154" s="671">
        <v>0.43</v>
      </c>
      <c r="O154" s="671">
        <v>0.42</v>
      </c>
      <c r="P154" s="671">
        <v>0.41</v>
      </c>
      <c r="Q154" s="671">
        <v>0.4</v>
      </c>
      <c r="R154" s="671">
        <v>0.39</v>
      </c>
      <c r="S154" s="671">
        <v>0.38</v>
      </c>
      <c r="T154" s="671">
        <v>0.37</v>
      </c>
      <c r="U154" s="671">
        <v>0.36</v>
      </c>
      <c r="V154" s="671">
        <v>0.35</v>
      </c>
      <c r="W154" s="671">
        <v>0.34</v>
      </c>
      <c r="X154" s="671">
        <v>0.33</v>
      </c>
      <c r="Y154" s="671">
        <v>0.32</v>
      </c>
      <c r="Z154" s="671">
        <v>0.31</v>
      </c>
      <c r="AA154" s="671">
        <v>0.3</v>
      </c>
      <c r="AB154" s="671">
        <v>0.28999999999999998</v>
      </c>
      <c r="AC154" s="671">
        <v>0.28000000000000003</v>
      </c>
      <c r="AD154" s="671">
        <v>0.27</v>
      </c>
      <c r="AE154" s="671">
        <v>0.26</v>
      </c>
      <c r="AF154" s="671">
        <v>0.25</v>
      </c>
      <c r="AG154" s="671">
        <v>0.24</v>
      </c>
      <c r="AH154" s="671">
        <v>0.23</v>
      </c>
      <c r="AI154" s="671">
        <v>0.22</v>
      </c>
      <c r="AJ154" s="671">
        <v>0.21</v>
      </c>
      <c r="AK154" s="671">
        <v>0.2</v>
      </c>
      <c r="AL154" s="671">
        <v>0.19</v>
      </c>
      <c r="AM154" s="671">
        <v>0.18</v>
      </c>
      <c r="AN154" s="671">
        <v>0.17</v>
      </c>
      <c r="AO154" s="671">
        <v>0.16</v>
      </c>
      <c r="AP154" s="671">
        <v>0.15</v>
      </c>
      <c r="AQ154" s="671">
        <v>0.14000000000000001</v>
      </c>
      <c r="AR154" s="671">
        <v>0.13</v>
      </c>
      <c r="AS154" s="671">
        <v>0.12</v>
      </c>
      <c r="AT154" s="671">
        <v>0.11</v>
      </c>
      <c r="AU154" s="671">
        <v>0.1</v>
      </c>
      <c r="AV154" s="671">
        <v>0.09</v>
      </c>
      <c r="AW154" s="671">
        <v>0.08</v>
      </c>
      <c r="AX154" s="671">
        <v>7.0000000000000007E-2</v>
      </c>
      <c r="AY154" s="671">
        <v>0.06</v>
      </c>
      <c r="AZ154" s="671">
        <v>0.05</v>
      </c>
      <c r="BA154" s="671">
        <v>0.04</v>
      </c>
      <c r="BB154" s="671">
        <v>0.03</v>
      </c>
      <c r="BC154" s="671">
        <v>0.02</v>
      </c>
      <c r="BD154" s="671">
        <v>0.01</v>
      </c>
      <c r="BE154" s="671">
        <v>0</v>
      </c>
      <c r="BF154" s="671">
        <v>0</v>
      </c>
      <c r="BG154" s="671">
        <v>0</v>
      </c>
      <c r="BH154" s="671">
        <v>0</v>
      </c>
      <c r="BI154" s="671">
        <v>0</v>
      </c>
      <c r="BJ154" s="671">
        <v>0</v>
      </c>
      <c r="BK154" s="671">
        <v>0</v>
      </c>
      <c r="BL154" s="671">
        <v>0</v>
      </c>
      <c r="BM154" s="671">
        <v>0</v>
      </c>
      <c r="BN154" s="671">
        <v>0</v>
      </c>
      <c r="BO154" s="671">
        <v>0</v>
      </c>
      <c r="BP154" s="671">
        <v>0</v>
      </c>
      <c r="BQ154" s="671">
        <v>0</v>
      </c>
      <c r="BR154" s="671">
        <v>0</v>
      </c>
      <c r="BS154" s="671">
        <v>0</v>
      </c>
      <c r="BT154" s="671">
        <v>0</v>
      </c>
      <c r="BU154" s="671">
        <v>0</v>
      </c>
      <c r="BV154" s="671">
        <v>0</v>
      </c>
      <c r="BW154" s="671">
        <v>0</v>
      </c>
      <c r="BX154" s="671">
        <v>0</v>
      </c>
      <c r="BY154" s="671">
        <v>0</v>
      </c>
      <c r="BZ154" s="671">
        <v>0</v>
      </c>
      <c r="CA154" s="671">
        <v>0</v>
      </c>
      <c r="CB154" s="671">
        <v>0</v>
      </c>
      <c r="CC154" s="671">
        <v>0</v>
      </c>
      <c r="CD154" s="671">
        <v>0</v>
      </c>
      <c r="CE154" s="671">
        <v>0</v>
      </c>
      <c r="CF154" s="671">
        <v>0</v>
      </c>
      <c r="CG154" s="671">
        <v>0</v>
      </c>
      <c r="CH154" s="671">
        <v>0</v>
      </c>
      <c r="CI154" s="671">
        <v>0</v>
      </c>
      <c r="CJ154" s="1478"/>
      <c r="CK154" s="1478"/>
      <c r="CL154" s="1478"/>
      <c r="CM154" s="1478"/>
      <c r="CN154" s="1478"/>
      <c r="CO154" s="1478"/>
      <c r="CP154" s="1478"/>
      <c r="CQ154" s="1478"/>
      <c r="CR154" s="1478"/>
      <c r="CS154" s="1478"/>
    </row>
    <row r="155" spans="2:97" x14ac:dyDescent="0.35">
      <c r="B155" s="850" t="s">
        <v>401</v>
      </c>
      <c r="C155" s="851" t="s">
        <v>402</v>
      </c>
      <c r="D155" s="770" t="s">
        <v>82</v>
      </c>
      <c r="E155" s="832" t="s">
        <v>398</v>
      </c>
      <c r="F155" s="833">
        <v>2</v>
      </c>
      <c r="G155" s="670">
        <v>0.37</v>
      </c>
      <c r="H155" s="670">
        <v>0.33</v>
      </c>
      <c r="I155" s="670">
        <v>0.31</v>
      </c>
      <c r="J155" s="670">
        <v>0.31</v>
      </c>
      <c r="K155" s="670">
        <v>0.31</v>
      </c>
      <c r="L155" s="670">
        <v>0.31</v>
      </c>
      <c r="M155" s="671">
        <v>0.31</v>
      </c>
      <c r="N155" s="671">
        <v>0.31</v>
      </c>
      <c r="O155" s="671">
        <v>0.31</v>
      </c>
      <c r="P155" s="671">
        <v>0.31</v>
      </c>
      <c r="Q155" s="671">
        <v>0.31</v>
      </c>
      <c r="R155" s="671">
        <v>0.31</v>
      </c>
      <c r="S155" s="671">
        <v>0.31</v>
      </c>
      <c r="T155" s="671">
        <v>0.31</v>
      </c>
      <c r="U155" s="671">
        <v>0.31</v>
      </c>
      <c r="V155" s="671">
        <v>0.31</v>
      </c>
      <c r="W155" s="671">
        <v>0.31</v>
      </c>
      <c r="X155" s="671">
        <v>0.31</v>
      </c>
      <c r="Y155" s="671">
        <v>0.31</v>
      </c>
      <c r="Z155" s="671">
        <v>0.31</v>
      </c>
      <c r="AA155" s="671">
        <v>0.31</v>
      </c>
      <c r="AB155" s="671">
        <v>0.31</v>
      </c>
      <c r="AC155" s="671">
        <v>0.31</v>
      </c>
      <c r="AD155" s="671">
        <v>0.31</v>
      </c>
      <c r="AE155" s="671">
        <v>0.31</v>
      </c>
      <c r="AF155" s="671">
        <v>0.31</v>
      </c>
      <c r="AG155" s="671">
        <v>0.31</v>
      </c>
      <c r="AH155" s="671">
        <v>0.31</v>
      </c>
      <c r="AI155" s="671">
        <v>0.31</v>
      </c>
      <c r="AJ155" s="671">
        <v>0.31</v>
      </c>
      <c r="AK155" s="671">
        <v>0.31</v>
      </c>
      <c r="AL155" s="671">
        <v>0.31</v>
      </c>
      <c r="AM155" s="671">
        <v>0.31</v>
      </c>
      <c r="AN155" s="671">
        <v>0.31</v>
      </c>
      <c r="AO155" s="671">
        <v>0.31</v>
      </c>
      <c r="AP155" s="671">
        <v>0.31</v>
      </c>
      <c r="AQ155" s="671">
        <v>0.31</v>
      </c>
      <c r="AR155" s="671">
        <v>0.31</v>
      </c>
      <c r="AS155" s="671">
        <v>0.31</v>
      </c>
      <c r="AT155" s="671">
        <v>0.31</v>
      </c>
      <c r="AU155" s="671">
        <v>0.31</v>
      </c>
      <c r="AV155" s="671">
        <v>0.31</v>
      </c>
      <c r="AW155" s="671">
        <v>0.31</v>
      </c>
      <c r="AX155" s="671">
        <v>0.31</v>
      </c>
      <c r="AY155" s="671">
        <v>0.31</v>
      </c>
      <c r="AZ155" s="671">
        <v>0.31</v>
      </c>
      <c r="BA155" s="671">
        <v>0.31</v>
      </c>
      <c r="BB155" s="671">
        <v>0.31</v>
      </c>
      <c r="BC155" s="671">
        <v>0.31</v>
      </c>
      <c r="BD155" s="671">
        <v>0.31</v>
      </c>
      <c r="BE155" s="671">
        <v>0.31</v>
      </c>
      <c r="BF155" s="671">
        <v>0.31</v>
      </c>
      <c r="BG155" s="671">
        <v>0.31</v>
      </c>
      <c r="BH155" s="671">
        <v>0.31</v>
      </c>
      <c r="BI155" s="671">
        <v>0.31</v>
      </c>
      <c r="BJ155" s="671">
        <v>0.31</v>
      </c>
      <c r="BK155" s="671">
        <v>0.31</v>
      </c>
      <c r="BL155" s="671">
        <v>0.31</v>
      </c>
      <c r="BM155" s="671">
        <v>0.31</v>
      </c>
      <c r="BN155" s="671">
        <v>0.31</v>
      </c>
      <c r="BO155" s="671">
        <v>0.31</v>
      </c>
      <c r="BP155" s="671">
        <v>0.31</v>
      </c>
      <c r="BQ155" s="671">
        <v>0.31</v>
      </c>
      <c r="BR155" s="671">
        <v>0.31</v>
      </c>
      <c r="BS155" s="671">
        <v>0.31</v>
      </c>
      <c r="BT155" s="671">
        <v>0.31</v>
      </c>
      <c r="BU155" s="671">
        <v>0.31</v>
      </c>
      <c r="BV155" s="671">
        <v>0.31</v>
      </c>
      <c r="BW155" s="671">
        <v>0.31</v>
      </c>
      <c r="BX155" s="671">
        <v>0.31</v>
      </c>
      <c r="BY155" s="671">
        <v>0.31</v>
      </c>
      <c r="BZ155" s="671">
        <v>0.31</v>
      </c>
      <c r="CA155" s="671">
        <v>0.31</v>
      </c>
      <c r="CB155" s="671">
        <v>0.31</v>
      </c>
      <c r="CC155" s="671">
        <v>0.31</v>
      </c>
      <c r="CD155" s="671">
        <v>0.31</v>
      </c>
      <c r="CE155" s="671">
        <v>0.31</v>
      </c>
      <c r="CF155" s="671">
        <v>0.31</v>
      </c>
      <c r="CG155" s="671">
        <v>0.31</v>
      </c>
      <c r="CH155" s="671">
        <v>0.31</v>
      </c>
      <c r="CI155" s="672">
        <v>0.31</v>
      </c>
      <c r="CJ155" s="1478"/>
      <c r="CK155" s="1478"/>
      <c r="CL155" s="1478"/>
      <c r="CM155" s="1478"/>
      <c r="CN155" s="1478"/>
      <c r="CO155" s="1478"/>
      <c r="CP155" s="1478"/>
      <c r="CQ155" s="1478"/>
      <c r="CR155" s="1478"/>
      <c r="CS155" s="1478"/>
    </row>
    <row r="156" spans="2:97" x14ac:dyDescent="0.35">
      <c r="B156" s="850" t="s">
        <v>608</v>
      </c>
      <c r="C156" s="851" t="s">
        <v>404</v>
      </c>
      <c r="D156" s="675" t="s">
        <v>405</v>
      </c>
      <c r="E156" s="676" t="s">
        <v>398</v>
      </c>
      <c r="F156" s="677">
        <v>2</v>
      </c>
      <c r="G156" s="670">
        <v>100.11</v>
      </c>
      <c r="H156" s="623">
        <f>G156+SUM(H157:H162)</f>
        <v>100.11</v>
      </c>
      <c r="I156" s="623">
        <v>101.199</v>
      </c>
      <c r="J156" s="623">
        <f t="shared" ref="J156" si="133">I156+SUM(J157:J162)</f>
        <v>105.0412953</v>
      </c>
      <c r="K156" s="623">
        <f t="shared" ref="K156:L156" si="134">J156+SUM(K157:K162)</f>
        <v>108.548079</v>
      </c>
      <c r="L156" s="623">
        <f t="shared" si="134"/>
        <v>112.0755468</v>
      </c>
      <c r="M156" s="623">
        <f>L156+SUM(M157:M162)</f>
        <v>117.71999278416666</v>
      </c>
      <c r="N156" s="623">
        <f t="shared" ref="N156:BY156" si="135">M156+SUM(N157:N162)</f>
        <v>122.82437770833333</v>
      </c>
      <c r="O156" s="623">
        <f t="shared" si="135"/>
        <v>128.39701385250001</v>
      </c>
      <c r="P156" s="623">
        <f t="shared" si="135"/>
        <v>133.87641900666668</v>
      </c>
      <c r="Q156" s="623">
        <f t="shared" si="135"/>
        <v>139.08290711083333</v>
      </c>
      <c r="R156" s="623">
        <f t="shared" si="135"/>
        <v>144.22146742500001</v>
      </c>
      <c r="S156" s="623">
        <f t="shared" si="135"/>
        <v>149.02933676916669</v>
      </c>
      <c r="T156" s="623">
        <f t="shared" si="135"/>
        <v>153.51463489333335</v>
      </c>
      <c r="U156" s="623">
        <f t="shared" si="135"/>
        <v>157.99208472750001</v>
      </c>
      <c r="V156" s="623">
        <f t="shared" si="135"/>
        <v>162.47380712166668</v>
      </c>
      <c r="W156" s="623">
        <f t="shared" si="135"/>
        <v>166.82599151583335</v>
      </c>
      <c r="X156" s="623">
        <f t="shared" si="135"/>
        <v>169.10075261583336</v>
      </c>
      <c r="Y156" s="623">
        <f t="shared" si="135"/>
        <v>171.26153001583333</v>
      </c>
      <c r="Z156" s="623">
        <f t="shared" si="135"/>
        <v>173.40727681583337</v>
      </c>
      <c r="AA156" s="623">
        <f t="shared" si="135"/>
        <v>175.54061581583335</v>
      </c>
      <c r="AB156" s="623">
        <f t="shared" si="135"/>
        <v>177.68044491583333</v>
      </c>
      <c r="AC156" s="623">
        <f t="shared" si="135"/>
        <v>179.75699641583336</v>
      </c>
      <c r="AD156" s="623">
        <f t="shared" si="135"/>
        <v>181.77164741583334</v>
      </c>
      <c r="AE156" s="623">
        <f t="shared" si="135"/>
        <v>183.72779711583337</v>
      </c>
      <c r="AF156" s="623">
        <f t="shared" si="135"/>
        <v>185.62167511583337</v>
      </c>
      <c r="AG156" s="623">
        <f t="shared" si="135"/>
        <v>187.45766201583336</v>
      </c>
      <c r="AH156" s="623">
        <f t="shared" si="135"/>
        <v>189.23091261583335</v>
      </c>
      <c r="AI156" s="623">
        <f t="shared" si="135"/>
        <v>190.94582001583333</v>
      </c>
      <c r="AJ156" s="623">
        <f t="shared" si="135"/>
        <v>192.60046891583335</v>
      </c>
      <c r="AK156" s="623">
        <f t="shared" si="135"/>
        <v>194.19498391583335</v>
      </c>
      <c r="AL156" s="623">
        <f t="shared" si="135"/>
        <v>195.19468601583335</v>
      </c>
      <c r="AM156" s="623">
        <f t="shared" si="135"/>
        <v>196.15302271583334</v>
      </c>
      <c r="AN156" s="623">
        <f t="shared" si="135"/>
        <v>197.09385461583335</v>
      </c>
      <c r="AO156" s="623">
        <f t="shared" si="135"/>
        <v>198.01121591583336</v>
      </c>
      <c r="AP156" s="623">
        <f t="shared" si="135"/>
        <v>198.92801781583333</v>
      </c>
      <c r="AQ156" s="623">
        <f t="shared" si="135"/>
        <v>199.85278481583336</v>
      </c>
      <c r="AR156" s="623">
        <f t="shared" si="135"/>
        <v>200.75579641583337</v>
      </c>
      <c r="AS156" s="623">
        <f t="shared" si="135"/>
        <v>201.59996541583337</v>
      </c>
      <c r="AT156" s="623">
        <f t="shared" si="135"/>
        <v>202.40298171583333</v>
      </c>
      <c r="AU156" s="623">
        <f t="shared" si="135"/>
        <v>203.19815641583335</v>
      </c>
      <c r="AV156" s="623">
        <f t="shared" si="135"/>
        <v>203.97219841583336</v>
      </c>
      <c r="AW156" s="623">
        <f t="shared" si="135"/>
        <v>204.72319261583334</v>
      </c>
      <c r="AX156" s="623">
        <f t="shared" si="135"/>
        <v>205.47001541583333</v>
      </c>
      <c r="AY156" s="623">
        <f t="shared" si="135"/>
        <v>206.22119701583335</v>
      </c>
      <c r="AZ156" s="623">
        <f t="shared" si="135"/>
        <v>206.98216781583338</v>
      </c>
      <c r="BA156" s="623">
        <f t="shared" si="135"/>
        <v>207.75211411583334</v>
      </c>
      <c r="BB156" s="623">
        <f t="shared" si="135"/>
        <v>208.51455121583336</v>
      </c>
      <c r="BC156" s="623">
        <f t="shared" si="135"/>
        <v>209.26233381583336</v>
      </c>
      <c r="BD156" s="623">
        <f t="shared" si="135"/>
        <v>210.01234541583335</v>
      </c>
      <c r="BE156" s="623">
        <f t="shared" si="135"/>
        <v>210.76268021583334</v>
      </c>
      <c r="BF156" s="623">
        <f t="shared" si="135"/>
        <v>211.51561321583335</v>
      </c>
      <c r="BG156" s="623">
        <f t="shared" si="135"/>
        <v>212.27447181583335</v>
      </c>
      <c r="BH156" s="623">
        <f t="shared" si="135"/>
        <v>213.04154171583335</v>
      </c>
      <c r="BI156" s="623">
        <f t="shared" si="135"/>
        <v>213.81175541583337</v>
      </c>
      <c r="BJ156" s="623">
        <f t="shared" si="135"/>
        <v>214.57581381583336</v>
      </c>
      <c r="BK156" s="623">
        <f t="shared" si="135"/>
        <v>215.34543911583336</v>
      </c>
      <c r="BL156" s="623">
        <f t="shared" si="135"/>
        <v>216.10709741583335</v>
      </c>
      <c r="BM156" s="623">
        <f t="shared" si="135"/>
        <v>216.86935481583333</v>
      </c>
      <c r="BN156" s="623">
        <f t="shared" si="135"/>
        <v>217.64819651583335</v>
      </c>
      <c r="BO156" s="623">
        <f t="shared" si="135"/>
        <v>218.43746871583338</v>
      </c>
      <c r="BP156" s="623">
        <f t="shared" si="135"/>
        <v>219.25637971583336</v>
      </c>
      <c r="BQ156" s="623">
        <f t="shared" si="135"/>
        <v>220.09561641583335</v>
      </c>
      <c r="BR156" s="623">
        <f t="shared" si="135"/>
        <v>220.95430561583336</v>
      </c>
      <c r="BS156" s="623">
        <f t="shared" si="135"/>
        <v>221.81565521583335</v>
      </c>
      <c r="BT156" s="623">
        <f t="shared" si="135"/>
        <v>222.68722881583335</v>
      </c>
      <c r="BU156" s="623">
        <f t="shared" si="135"/>
        <v>223.57236381583337</v>
      </c>
      <c r="BV156" s="623">
        <f t="shared" si="135"/>
        <v>224.47227891583336</v>
      </c>
      <c r="BW156" s="623">
        <f t="shared" si="135"/>
        <v>225.37328761583336</v>
      </c>
      <c r="BX156" s="623">
        <f t="shared" si="135"/>
        <v>226.28509581583336</v>
      </c>
      <c r="BY156" s="623">
        <f t="shared" si="135"/>
        <v>227.20997551583335</v>
      </c>
      <c r="BZ156" s="623">
        <f t="shared" ref="BZ156:CI156" si="136">BY156+SUM(BZ157:BZ162)</f>
        <v>228.15767761583336</v>
      </c>
      <c r="CA156" s="623">
        <f t="shared" si="136"/>
        <v>229.11126921583335</v>
      </c>
      <c r="CB156" s="623">
        <f t="shared" si="136"/>
        <v>230.07086671583335</v>
      </c>
      <c r="CC156" s="623">
        <f t="shared" si="136"/>
        <v>231.01731241583337</v>
      </c>
      <c r="CD156" s="623">
        <f t="shared" si="136"/>
        <v>231.96995461583336</v>
      </c>
      <c r="CE156" s="623">
        <f t="shared" si="136"/>
        <v>232.92246731583336</v>
      </c>
      <c r="CF156" s="623">
        <f t="shared" si="136"/>
        <v>233.87064621583335</v>
      </c>
      <c r="CG156" s="623">
        <f t="shared" si="136"/>
        <v>234.79844861583334</v>
      </c>
      <c r="CH156" s="623">
        <f t="shared" si="136"/>
        <v>235.71128221583336</v>
      </c>
      <c r="CI156" s="619">
        <f t="shared" si="136"/>
        <v>236.61026631583337</v>
      </c>
      <c r="CJ156" s="1478"/>
      <c r="CK156" s="1478"/>
      <c r="CL156" s="1478"/>
      <c r="CM156" s="1478"/>
      <c r="CN156" s="1478"/>
      <c r="CO156" s="1478"/>
      <c r="CP156" s="1478"/>
      <c r="CQ156" s="1478"/>
      <c r="CR156" s="1478"/>
      <c r="CS156" s="1478"/>
    </row>
    <row r="157" spans="2:97" s="1618" customFormat="1" x14ac:dyDescent="0.35">
      <c r="B157" s="850" t="s">
        <v>406</v>
      </c>
      <c r="C157" s="851" t="s">
        <v>407</v>
      </c>
      <c r="D157" s="675" t="s">
        <v>408</v>
      </c>
      <c r="E157" s="676" t="s">
        <v>398</v>
      </c>
      <c r="F157" s="677">
        <v>2</v>
      </c>
      <c r="G157" s="670"/>
      <c r="H157" s="670"/>
      <c r="I157" s="670"/>
      <c r="J157" s="670">
        <v>3.1014080630000009</v>
      </c>
      <c r="K157" s="670">
        <v>2.7805890369999995</v>
      </c>
      <c r="L157" s="670">
        <v>2.8148553790000008</v>
      </c>
      <c r="M157" s="671">
        <v>3.0068233139999982</v>
      </c>
      <c r="N157" s="671">
        <v>2.4667621400000019</v>
      </c>
      <c r="O157" s="671">
        <v>2.9350135399999964</v>
      </c>
      <c r="P157" s="671">
        <v>2.8417823999999996</v>
      </c>
      <c r="Q157" s="671">
        <v>2.5688654600000014</v>
      </c>
      <c r="R157" s="671">
        <v>2.5009376300000028</v>
      </c>
      <c r="S157" s="671">
        <v>2.1702466200000003</v>
      </c>
      <c r="T157" s="671">
        <v>1.8476754199999981</v>
      </c>
      <c r="U157" s="671">
        <v>1.8398271700000031</v>
      </c>
      <c r="V157" s="671">
        <v>1.8440996299999988</v>
      </c>
      <c r="W157" s="671">
        <v>1.7145616899999965</v>
      </c>
      <c r="X157" s="671">
        <v>1.677992230000001</v>
      </c>
      <c r="Y157" s="671">
        <v>1.5803659700000026</v>
      </c>
      <c r="Z157" s="671">
        <v>1.5810663599999941</v>
      </c>
      <c r="AA157" s="671">
        <v>1.5837961800000073</v>
      </c>
      <c r="AB157" s="671">
        <v>1.6048615899999987</v>
      </c>
      <c r="AC157" s="671">
        <v>1.5556258800000009</v>
      </c>
      <c r="AD157" s="671">
        <v>1.5072606199999967</v>
      </c>
      <c r="AE157" s="671">
        <v>1.4618129599999961</v>
      </c>
      <c r="AF157" s="671">
        <v>1.4121366500000008</v>
      </c>
      <c r="AG157" s="671">
        <v>1.3664044300000029</v>
      </c>
      <c r="AH157" s="671">
        <v>1.3154111799999981</v>
      </c>
      <c r="AI157" s="671">
        <v>1.2683669100000046</v>
      </c>
      <c r="AJ157" s="671">
        <v>1.2191283599999991</v>
      </c>
      <c r="AK157" s="671">
        <v>1.169742620000001</v>
      </c>
      <c r="AL157" s="671">
        <v>0.58541251999999844</v>
      </c>
      <c r="AM157" s="671">
        <v>0.55427120999999602</v>
      </c>
      <c r="AN157" s="671">
        <v>0.5467382900000004</v>
      </c>
      <c r="AO157" s="671">
        <v>0.53299341000000311</v>
      </c>
      <c r="AP157" s="671">
        <v>0.54191971000000194</v>
      </c>
      <c r="AQ157" s="671">
        <v>0.5591364499999969</v>
      </c>
      <c r="AR157" s="671">
        <v>0.54640434000000226</v>
      </c>
      <c r="AS157" s="671">
        <v>0.49636224999999712</v>
      </c>
      <c r="AT157" s="671">
        <v>0.46379312000000539</v>
      </c>
      <c r="AU157" s="671">
        <v>0.46432299999999316</v>
      </c>
      <c r="AV157" s="671">
        <v>0.45135539000000335</v>
      </c>
      <c r="AW157" s="671">
        <v>0.43627099000000413</v>
      </c>
      <c r="AX157" s="671">
        <v>0.43986660999999572</v>
      </c>
      <c r="AY157" s="671">
        <v>0.45180075999999758</v>
      </c>
      <c r="AZ157" s="671">
        <v>0.46897824000000554</v>
      </c>
      <c r="BA157" s="671">
        <v>0.4851596700000016</v>
      </c>
      <c r="BB157" s="671">
        <v>0.48467875000000049</v>
      </c>
      <c r="BC157" s="671">
        <v>0.47687892000000431</v>
      </c>
      <c r="BD157" s="671">
        <v>0.4857934399999948</v>
      </c>
      <c r="BE157" s="671">
        <v>0.49263732000000005</v>
      </c>
      <c r="BF157" s="671">
        <v>0.50159499999999468</v>
      </c>
      <c r="BG157" s="671">
        <v>0.51372343999999259</v>
      </c>
      <c r="BH157" s="671">
        <v>0.52798434000001748</v>
      </c>
      <c r="BI157" s="671">
        <v>0.53702838999998903</v>
      </c>
      <c r="BJ157" s="671">
        <v>0.53662792000000081</v>
      </c>
      <c r="BK157" s="671">
        <v>0.54780737999999474</v>
      </c>
      <c r="BL157" s="671">
        <v>0.54531468999999788</v>
      </c>
      <c r="BM157" s="671">
        <v>0.55125275000000329</v>
      </c>
      <c r="BN157" s="671">
        <v>0.57304451000000256</v>
      </c>
      <c r="BO157" s="671">
        <v>0.58855366999999603</v>
      </c>
      <c r="BP157" s="671">
        <v>0.62314611000000752</v>
      </c>
      <c r="BQ157" s="671">
        <v>0.64830288999999652</v>
      </c>
      <c r="BR157" s="671">
        <v>0.67246751999999788</v>
      </c>
      <c r="BS157" s="671">
        <v>0.67972351000000231</v>
      </c>
      <c r="BT157" s="671">
        <v>0.69442989000000921</v>
      </c>
      <c r="BU157" s="671">
        <v>0.71236294999998506</v>
      </c>
      <c r="BV157" s="671">
        <v>0.73140689000000236</v>
      </c>
      <c r="BW157" s="671">
        <v>0.73665895000000603</v>
      </c>
      <c r="BX157" s="671">
        <v>0.75151448000001153</v>
      </c>
      <c r="BY157" s="671">
        <v>0.7685417399999892</v>
      </c>
      <c r="BZ157" s="671">
        <v>0.79522249999999417</v>
      </c>
      <c r="CA157" s="671">
        <v>0.80487492000000316</v>
      </c>
      <c r="CB157" s="671">
        <v>0.81455087999999876</v>
      </c>
      <c r="CC157" s="671">
        <v>0.80497871000000032</v>
      </c>
      <c r="CD157" s="671">
        <v>0.81466644000001054</v>
      </c>
      <c r="CE157" s="671">
        <v>0.81794206999998664</v>
      </c>
      <c r="CF157" s="671">
        <v>0.81692920000000413</v>
      </c>
      <c r="CG157" s="671">
        <v>0.79979182000001003</v>
      </c>
      <c r="CH157" s="671">
        <v>0.78798218999999392</v>
      </c>
      <c r="CI157" s="672">
        <v>0.77721375999999509</v>
      </c>
      <c r="CJ157" s="1478"/>
      <c r="CK157" s="1478"/>
      <c r="CL157" s="1478"/>
      <c r="CM157" s="1478"/>
      <c r="CN157" s="1478"/>
      <c r="CO157" s="1478"/>
      <c r="CP157" s="1478"/>
      <c r="CQ157" s="1478"/>
      <c r="CR157" s="1478"/>
      <c r="CS157" s="1478"/>
    </row>
    <row r="158" spans="2:97" x14ac:dyDescent="0.35">
      <c r="B158" s="850" t="s">
        <v>409</v>
      </c>
      <c r="C158" s="851" t="s">
        <v>410</v>
      </c>
      <c r="D158" s="675" t="s">
        <v>411</v>
      </c>
      <c r="E158" s="676" t="s">
        <v>398</v>
      </c>
      <c r="F158" s="677">
        <v>2</v>
      </c>
      <c r="G158" s="670"/>
      <c r="H158" s="670"/>
      <c r="I158" s="670"/>
      <c r="J158" s="670">
        <v>0.74088723700000259</v>
      </c>
      <c r="K158" s="670">
        <v>0.72619466300000024</v>
      </c>
      <c r="L158" s="670">
        <v>0.71261242099999578</v>
      </c>
      <c r="M158" s="671">
        <v>0.70161788599999753</v>
      </c>
      <c r="N158" s="671">
        <v>0.68948285999999648</v>
      </c>
      <c r="O158" s="671">
        <v>0.67521956000001992</v>
      </c>
      <c r="P158" s="671">
        <v>0.66614769999999623</v>
      </c>
      <c r="Q158" s="671">
        <v>0.65800903999997828</v>
      </c>
      <c r="R158" s="671">
        <v>0.65079037000001705</v>
      </c>
      <c r="S158" s="671">
        <v>0.64448598000001311</v>
      </c>
      <c r="T158" s="671">
        <v>0.63909898000000354</v>
      </c>
      <c r="U158" s="671">
        <v>0.63180512999997873</v>
      </c>
      <c r="V158" s="671">
        <v>0.62240987000000203</v>
      </c>
      <c r="W158" s="671">
        <v>0.61076180999999963</v>
      </c>
      <c r="X158" s="671">
        <v>0.59676887000000534</v>
      </c>
      <c r="Y158" s="671">
        <v>0.58041142999996964</v>
      </c>
      <c r="Z158" s="671">
        <v>0.56468044000004625</v>
      </c>
      <c r="AA158" s="671">
        <v>0.54954281999997079</v>
      </c>
      <c r="AB158" s="671">
        <v>0.5349675099999871</v>
      </c>
      <c r="AC158" s="671">
        <v>0.52092562000002118</v>
      </c>
      <c r="AD158" s="671">
        <v>0.5073903799999897</v>
      </c>
      <c r="AE158" s="671">
        <v>0.49433674000002981</v>
      </c>
      <c r="AF158" s="671">
        <v>0.48174135000000007</v>
      </c>
      <c r="AG158" s="671">
        <v>0.46958246999999176</v>
      </c>
      <c r="AH158" s="671">
        <v>0.4578394199999849</v>
      </c>
      <c r="AI158" s="671">
        <v>0.44654048999998253</v>
      </c>
      <c r="AJ158" s="671">
        <v>0.43552054000001306</v>
      </c>
      <c r="AK158" s="671">
        <v>0.42477238000000028</v>
      </c>
      <c r="AL158" s="671">
        <v>0.41428958000000904</v>
      </c>
      <c r="AM158" s="671">
        <v>0.40406548999999359</v>
      </c>
      <c r="AN158" s="671">
        <v>0.39409361000000587</v>
      </c>
      <c r="AO158" s="671">
        <v>0.38436789000000715</v>
      </c>
      <c r="AP158" s="671">
        <v>0.37488218999996548</v>
      </c>
      <c r="AQ158" s="671">
        <v>0.3656305500000343</v>
      </c>
      <c r="AR158" s="671">
        <v>0.35660726000001119</v>
      </c>
      <c r="AS158" s="671">
        <v>0.34780674999999661</v>
      </c>
      <c r="AT158" s="671">
        <v>0.3392231799999621</v>
      </c>
      <c r="AU158" s="671">
        <v>0.33085170000002506</v>
      </c>
      <c r="AV158" s="671">
        <v>0.3226866100000052</v>
      </c>
      <c r="AW158" s="671">
        <v>0.3147232099999755</v>
      </c>
      <c r="AX158" s="671">
        <v>0.30695618999999397</v>
      </c>
      <c r="AY158" s="671">
        <v>0.29938084000002618</v>
      </c>
      <c r="AZ158" s="671">
        <v>0.29199256000001839</v>
      </c>
      <c r="BA158" s="671">
        <v>0.28478662999995663</v>
      </c>
      <c r="BB158" s="671">
        <v>0.27775835000002758</v>
      </c>
      <c r="BC158" s="671">
        <v>0.27090367999998932</v>
      </c>
      <c r="BD158" s="671">
        <v>0.26421815999999865</v>
      </c>
      <c r="BE158" s="671">
        <v>0.25769747999999026</v>
      </c>
      <c r="BF158" s="671">
        <v>0.25133800000001827</v>
      </c>
      <c r="BG158" s="671">
        <v>0.24513516000000379</v>
      </c>
      <c r="BH158" s="671">
        <v>0.23908555999997816</v>
      </c>
      <c r="BI158" s="671">
        <v>0.23318531000003873</v>
      </c>
      <c r="BJ158" s="671">
        <v>0.22743047999998112</v>
      </c>
      <c r="BK158" s="671">
        <v>0.22181792000000655</v>
      </c>
      <c r="BL158" s="671">
        <v>0.21634360999999558</v>
      </c>
      <c r="BM158" s="671">
        <v>0.21100464999997826</v>
      </c>
      <c r="BN158" s="671">
        <v>0.20579719000001262</v>
      </c>
      <c r="BO158" s="671">
        <v>0.20071853000003159</v>
      </c>
      <c r="BP158" s="671">
        <v>0.19576488999997821</v>
      </c>
      <c r="BQ158" s="671">
        <v>0.19093380999998999</v>
      </c>
      <c r="BR158" s="671">
        <v>0.18622168000001693</v>
      </c>
      <c r="BS158" s="671">
        <v>0.18162608999998042</v>
      </c>
      <c r="BT158" s="671">
        <v>0.17714370999999574</v>
      </c>
      <c r="BU158" s="671">
        <v>0.17277205000003448</v>
      </c>
      <c r="BV158" s="671">
        <v>0.16850820999998462</v>
      </c>
      <c r="BW158" s="671">
        <v>0.16434974999999952</v>
      </c>
      <c r="BX158" s="671">
        <v>0.16029371999998432</v>
      </c>
      <c r="BY158" s="671">
        <v>0.15633796000000189</v>
      </c>
      <c r="BZ158" s="671">
        <v>0.15247960000002081</v>
      </c>
      <c r="CA158" s="671">
        <v>0.1487166799999784</v>
      </c>
      <c r="CB158" s="671">
        <v>0.14504662000000224</v>
      </c>
      <c r="CC158" s="671">
        <v>0.14146699000002627</v>
      </c>
      <c r="CD158" s="671">
        <v>0.13797575999997491</v>
      </c>
      <c r="CE158" s="671">
        <v>0.13457063000001313</v>
      </c>
      <c r="CF158" s="671">
        <v>0.1312496999999837</v>
      </c>
      <c r="CG158" s="671">
        <v>0.12801057999998022</v>
      </c>
      <c r="CH158" s="671">
        <v>0.12485141000003352</v>
      </c>
      <c r="CI158" s="672">
        <v>0.12177034000001186</v>
      </c>
      <c r="CJ158" s="1478"/>
      <c r="CK158" s="1478"/>
      <c r="CL158" s="1478"/>
      <c r="CM158" s="1478"/>
      <c r="CN158" s="1478"/>
      <c r="CO158" s="1478"/>
      <c r="CP158" s="1478"/>
      <c r="CQ158" s="1478"/>
      <c r="CR158" s="1478"/>
      <c r="CS158" s="1478"/>
    </row>
    <row r="159" spans="2:97" x14ac:dyDescent="0.35">
      <c r="B159" s="850" t="s">
        <v>412</v>
      </c>
      <c r="C159" s="851" t="s">
        <v>413</v>
      </c>
      <c r="D159" s="675" t="s">
        <v>414</v>
      </c>
      <c r="E159" s="676" t="s">
        <v>398</v>
      </c>
      <c r="F159" s="677">
        <v>2</v>
      </c>
      <c r="G159" s="670">
        <v>0</v>
      </c>
      <c r="H159" s="670">
        <v>0</v>
      </c>
      <c r="I159" s="670">
        <v>0</v>
      </c>
      <c r="J159" s="670">
        <v>0</v>
      </c>
      <c r="K159" s="670">
        <v>0</v>
      </c>
      <c r="L159" s="670">
        <v>0</v>
      </c>
      <c r="M159" s="671">
        <v>1.9360047841666699</v>
      </c>
      <c r="N159" s="671">
        <v>1.9481399241666679</v>
      </c>
      <c r="O159" s="671">
        <v>1.9624030441666669</v>
      </c>
      <c r="P159" s="671">
        <v>1.9714750541666746</v>
      </c>
      <c r="Q159" s="671">
        <v>1.9796136041666657</v>
      </c>
      <c r="R159" s="671">
        <v>1.9868323141666764</v>
      </c>
      <c r="S159" s="671">
        <v>1.9931367441666659</v>
      </c>
      <c r="T159" s="671">
        <v>1.9985237241666702</v>
      </c>
      <c r="U159" s="671">
        <v>2.0058175341666704</v>
      </c>
      <c r="V159" s="671">
        <v>2.015212894166666</v>
      </c>
      <c r="W159" s="671">
        <v>2.0268608941666706</v>
      </c>
      <c r="X159" s="671">
        <v>0</v>
      </c>
      <c r="Y159" s="671">
        <v>0</v>
      </c>
      <c r="Z159" s="671">
        <v>0</v>
      </c>
      <c r="AA159" s="671">
        <v>0</v>
      </c>
      <c r="AB159" s="671">
        <v>0</v>
      </c>
      <c r="AC159" s="671">
        <v>0</v>
      </c>
      <c r="AD159" s="671">
        <v>0</v>
      </c>
      <c r="AE159" s="671">
        <v>0</v>
      </c>
      <c r="AF159" s="671">
        <v>0</v>
      </c>
      <c r="AG159" s="671">
        <v>0</v>
      </c>
      <c r="AH159" s="671">
        <v>0</v>
      </c>
      <c r="AI159" s="671">
        <v>0</v>
      </c>
      <c r="AJ159" s="671">
        <v>0</v>
      </c>
      <c r="AK159" s="671">
        <v>0</v>
      </c>
      <c r="AL159" s="671">
        <v>0</v>
      </c>
      <c r="AM159" s="671">
        <v>0</v>
      </c>
      <c r="AN159" s="671">
        <v>0</v>
      </c>
      <c r="AO159" s="671">
        <v>0</v>
      </c>
      <c r="AP159" s="671">
        <v>0</v>
      </c>
      <c r="AQ159" s="671">
        <v>0</v>
      </c>
      <c r="AR159" s="671">
        <v>0</v>
      </c>
      <c r="AS159" s="671">
        <v>0</v>
      </c>
      <c r="AT159" s="671">
        <v>0</v>
      </c>
      <c r="AU159" s="671">
        <v>0</v>
      </c>
      <c r="AV159" s="671">
        <v>0</v>
      </c>
      <c r="AW159" s="671">
        <v>0</v>
      </c>
      <c r="AX159" s="671">
        <v>0</v>
      </c>
      <c r="AY159" s="671">
        <v>0</v>
      </c>
      <c r="AZ159" s="671">
        <v>0</v>
      </c>
      <c r="BA159" s="671">
        <v>0</v>
      </c>
      <c r="BB159" s="671">
        <v>0</v>
      </c>
      <c r="BC159" s="671">
        <v>0</v>
      </c>
      <c r="BD159" s="671">
        <v>0</v>
      </c>
      <c r="BE159" s="671">
        <v>0</v>
      </c>
      <c r="BF159" s="671">
        <v>0</v>
      </c>
      <c r="BG159" s="671">
        <v>0</v>
      </c>
      <c r="BH159" s="671">
        <v>0</v>
      </c>
      <c r="BI159" s="671">
        <v>0</v>
      </c>
      <c r="BJ159" s="671">
        <v>0</v>
      </c>
      <c r="BK159" s="671">
        <v>0</v>
      </c>
      <c r="BL159" s="671">
        <v>0</v>
      </c>
      <c r="BM159" s="671">
        <v>0</v>
      </c>
      <c r="BN159" s="671">
        <v>0</v>
      </c>
      <c r="BO159" s="671">
        <v>0</v>
      </c>
      <c r="BP159" s="671">
        <v>0</v>
      </c>
      <c r="BQ159" s="671">
        <v>0</v>
      </c>
      <c r="BR159" s="671">
        <v>0</v>
      </c>
      <c r="BS159" s="671">
        <v>0</v>
      </c>
      <c r="BT159" s="671">
        <v>0</v>
      </c>
      <c r="BU159" s="671">
        <v>0</v>
      </c>
      <c r="BV159" s="671">
        <v>0</v>
      </c>
      <c r="BW159" s="671">
        <v>0</v>
      </c>
      <c r="BX159" s="671">
        <v>0</v>
      </c>
      <c r="BY159" s="671">
        <v>0</v>
      </c>
      <c r="BZ159" s="671">
        <v>0</v>
      </c>
      <c r="CA159" s="671">
        <v>0</v>
      </c>
      <c r="CB159" s="671">
        <v>0</v>
      </c>
      <c r="CC159" s="671">
        <v>0</v>
      </c>
      <c r="CD159" s="671">
        <v>0</v>
      </c>
      <c r="CE159" s="671">
        <v>0</v>
      </c>
      <c r="CF159" s="671">
        <v>0</v>
      </c>
      <c r="CG159" s="671">
        <v>0</v>
      </c>
      <c r="CH159" s="671">
        <v>0</v>
      </c>
      <c r="CI159" s="671">
        <v>0</v>
      </c>
      <c r="CJ159" s="1478"/>
      <c r="CK159" s="1478"/>
      <c r="CL159" s="1478"/>
      <c r="CM159" s="1478"/>
      <c r="CN159" s="1478"/>
      <c r="CO159" s="1478"/>
      <c r="CP159" s="1478"/>
      <c r="CQ159" s="1478"/>
      <c r="CR159" s="1478"/>
      <c r="CS159" s="1478"/>
    </row>
    <row r="160" spans="2:97" ht="28" x14ac:dyDescent="0.35">
      <c r="B160" s="850" t="s">
        <v>415</v>
      </c>
      <c r="C160" s="851" t="s">
        <v>416</v>
      </c>
      <c r="D160" s="675" t="s">
        <v>417</v>
      </c>
      <c r="E160" s="676" t="s">
        <v>398</v>
      </c>
      <c r="F160" s="677">
        <v>2</v>
      </c>
      <c r="G160" s="670">
        <v>0</v>
      </c>
      <c r="H160" s="670">
        <v>0</v>
      </c>
      <c r="I160" s="670">
        <v>0</v>
      </c>
      <c r="J160" s="670">
        <v>0</v>
      </c>
      <c r="K160" s="670">
        <v>0</v>
      </c>
      <c r="L160" s="670">
        <v>0</v>
      </c>
      <c r="M160" s="671">
        <v>0</v>
      </c>
      <c r="N160" s="671">
        <v>0</v>
      </c>
      <c r="O160" s="671">
        <v>0</v>
      </c>
      <c r="P160" s="671">
        <v>0</v>
      </c>
      <c r="Q160" s="671">
        <v>0</v>
      </c>
      <c r="R160" s="671">
        <v>0</v>
      </c>
      <c r="S160" s="671">
        <v>0</v>
      </c>
      <c r="T160" s="671">
        <v>0</v>
      </c>
      <c r="U160" s="671">
        <v>0</v>
      </c>
      <c r="V160" s="671">
        <v>0</v>
      </c>
      <c r="W160" s="671">
        <v>0</v>
      </c>
      <c r="X160" s="671">
        <v>0</v>
      </c>
      <c r="Y160" s="671">
        <v>0</v>
      </c>
      <c r="Z160" s="671">
        <v>0</v>
      </c>
      <c r="AA160" s="671">
        <v>0</v>
      </c>
      <c r="AB160" s="671">
        <v>0</v>
      </c>
      <c r="AC160" s="671">
        <v>0</v>
      </c>
      <c r="AD160" s="671">
        <v>0</v>
      </c>
      <c r="AE160" s="671">
        <v>0</v>
      </c>
      <c r="AF160" s="671">
        <v>0</v>
      </c>
      <c r="AG160" s="671">
        <v>0</v>
      </c>
      <c r="AH160" s="671">
        <v>0</v>
      </c>
      <c r="AI160" s="671">
        <v>0</v>
      </c>
      <c r="AJ160" s="671">
        <v>0</v>
      </c>
      <c r="AK160" s="671">
        <v>0</v>
      </c>
      <c r="AL160" s="671">
        <v>0</v>
      </c>
      <c r="AM160" s="671">
        <v>0</v>
      </c>
      <c r="AN160" s="671">
        <v>0</v>
      </c>
      <c r="AO160" s="671">
        <v>0</v>
      </c>
      <c r="AP160" s="671">
        <v>0</v>
      </c>
      <c r="AQ160" s="671">
        <v>0</v>
      </c>
      <c r="AR160" s="671">
        <v>0</v>
      </c>
      <c r="AS160" s="671">
        <v>0</v>
      </c>
      <c r="AT160" s="671">
        <v>0</v>
      </c>
      <c r="AU160" s="671">
        <v>0</v>
      </c>
      <c r="AV160" s="671">
        <v>0</v>
      </c>
      <c r="AW160" s="671">
        <v>0</v>
      </c>
      <c r="AX160" s="671">
        <v>0</v>
      </c>
      <c r="AY160" s="671">
        <v>0</v>
      </c>
      <c r="AZ160" s="671">
        <v>0</v>
      </c>
      <c r="BA160" s="671">
        <v>0</v>
      </c>
      <c r="BB160" s="671">
        <v>0</v>
      </c>
      <c r="BC160" s="671">
        <v>0</v>
      </c>
      <c r="BD160" s="671">
        <v>0</v>
      </c>
      <c r="BE160" s="671">
        <v>0</v>
      </c>
      <c r="BF160" s="671">
        <v>0</v>
      </c>
      <c r="BG160" s="671">
        <v>0</v>
      </c>
      <c r="BH160" s="671">
        <v>0</v>
      </c>
      <c r="BI160" s="671">
        <v>0</v>
      </c>
      <c r="BJ160" s="671">
        <v>0</v>
      </c>
      <c r="BK160" s="671">
        <v>0</v>
      </c>
      <c r="BL160" s="671">
        <v>0</v>
      </c>
      <c r="BM160" s="671">
        <v>0</v>
      </c>
      <c r="BN160" s="671">
        <v>0</v>
      </c>
      <c r="BO160" s="671">
        <v>0</v>
      </c>
      <c r="BP160" s="671">
        <v>0</v>
      </c>
      <c r="BQ160" s="671">
        <v>0</v>
      </c>
      <c r="BR160" s="671">
        <v>0</v>
      </c>
      <c r="BS160" s="671">
        <v>0</v>
      </c>
      <c r="BT160" s="671">
        <v>0</v>
      </c>
      <c r="BU160" s="671">
        <v>0</v>
      </c>
      <c r="BV160" s="671">
        <v>0</v>
      </c>
      <c r="BW160" s="671">
        <v>0</v>
      </c>
      <c r="BX160" s="671">
        <v>0</v>
      </c>
      <c r="BY160" s="671">
        <v>0</v>
      </c>
      <c r="BZ160" s="671">
        <v>0</v>
      </c>
      <c r="CA160" s="671">
        <v>0</v>
      </c>
      <c r="CB160" s="671">
        <v>0</v>
      </c>
      <c r="CC160" s="671">
        <v>0</v>
      </c>
      <c r="CD160" s="671">
        <v>0</v>
      </c>
      <c r="CE160" s="671">
        <v>0</v>
      </c>
      <c r="CF160" s="671">
        <v>0</v>
      </c>
      <c r="CG160" s="671">
        <v>0</v>
      </c>
      <c r="CH160" s="671">
        <v>0</v>
      </c>
      <c r="CI160" s="671">
        <v>0</v>
      </c>
      <c r="CJ160" s="1478"/>
      <c r="CK160" s="1478"/>
      <c r="CL160" s="1478"/>
      <c r="CM160" s="1478"/>
      <c r="CN160" s="1478"/>
      <c r="CO160" s="1478"/>
      <c r="CP160" s="1478"/>
      <c r="CQ160" s="1478"/>
      <c r="CR160" s="1478"/>
      <c r="CS160" s="1478"/>
    </row>
    <row r="161" spans="1:97" x14ac:dyDescent="0.35">
      <c r="B161" s="850" t="s">
        <v>418</v>
      </c>
      <c r="C161" s="851" t="s">
        <v>419</v>
      </c>
      <c r="D161" s="675" t="s">
        <v>420</v>
      </c>
      <c r="E161" s="676" t="s">
        <v>398</v>
      </c>
      <c r="F161" s="677">
        <v>2</v>
      </c>
      <c r="G161" s="670">
        <v>0</v>
      </c>
      <c r="H161" s="670">
        <v>0</v>
      </c>
      <c r="I161" s="670">
        <v>0</v>
      </c>
      <c r="J161" s="670">
        <v>0</v>
      </c>
      <c r="K161" s="670">
        <v>0</v>
      </c>
      <c r="L161" s="670">
        <v>0</v>
      </c>
      <c r="M161" s="671">
        <v>0</v>
      </c>
      <c r="N161" s="671">
        <v>0</v>
      </c>
      <c r="O161" s="671">
        <v>0</v>
      </c>
      <c r="P161" s="671">
        <v>0</v>
      </c>
      <c r="Q161" s="671">
        <v>0</v>
      </c>
      <c r="R161" s="671">
        <v>0</v>
      </c>
      <c r="S161" s="671">
        <v>0</v>
      </c>
      <c r="T161" s="671">
        <v>0</v>
      </c>
      <c r="U161" s="671">
        <v>0</v>
      </c>
      <c r="V161" s="671">
        <v>0</v>
      </c>
      <c r="W161" s="671">
        <v>0</v>
      </c>
      <c r="X161" s="671">
        <v>0</v>
      </c>
      <c r="Y161" s="671">
        <v>0</v>
      </c>
      <c r="Z161" s="671">
        <v>0</v>
      </c>
      <c r="AA161" s="671">
        <v>0</v>
      </c>
      <c r="AB161" s="671">
        <v>0</v>
      </c>
      <c r="AC161" s="671">
        <v>0</v>
      </c>
      <c r="AD161" s="671">
        <v>0</v>
      </c>
      <c r="AE161" s="671">
        <v>0</v>
      </c>
      <c r="AF161" s="671">
        <v>0</v>
      </c>
      <c r="AG161" s="671">
        <v>0</v>
      </c>
      <c r="AH161" s="671">
        <v>0</v>
      </c>
      <c r="AI161" s="671">
        <v>0</v>
      </c>
      <c r="AJ161" s="671">
        <v>0</v>
      </c>
      <c r="AK161" s="671">
        <v>0</v>
      </c>
      <c r="AL161" s="671">
        <v>0</v>
      </c>
      <c r="AM161" s="671">
        <v>0</v>
      </c>
      <c r="AN161" s="671">
        <v>0</v>
      </c>
      <c r="AO161" s="671">
        <v>0</v>
      </c>
      <c r="AP161" s="671">
        <v>0</v>
      </c>
      <c r="AQ161" s="671">
        <v>0</v>
      </c>
      <c r="AR161" s="671">
        <v>0</v>
      </c>
      <c r="AS161" s="671">
        <v>0</v>
      </c>
      <c r="AT161" s="671">
        <v>0</v>
      </c>
      <c r="AU161" s="671">
        <v>0</v>
      </c>
      <c r="AV161" s="671">
        <v>0</v>
      </c>
      <c r="AW161" s="671">
        <v>0</v>
      </c>
      <c r="AX161" s="671">
        <v>0</v>
      </c>
      <c r="AY161" s="671">
        <v>0</v>
      </c>
      <c r="AZ161" s="671">
        <v>0</v>
      </c>
      <c r="BA161" s="671">
        <v>0</v>
      </c>
      <c r="BB161" s="671">
        <v>0</v>
      </c>
      <c r="BC161" s="671">
        <v>0</v>
      </c>
      <c r="BD161" s="671">
        <v>0</v>
      </c>
      <c r="BE161" s="671">
        <v>0</v>
      </c>
      <c r="BF161" s="671">
        <v>0</v>
      </c>
      <c r="BG161" s="671">
        <v>0</v>
      </c>
      <c r="BH161" s="671">
        <v>0</v>
      </c>
      <c r="BI161" s="671">
        <v>0</v>
      </c>
      <c r="BJ161" s="671">
        <v>0</v>
      </c>
      <c r="BK161" s="671">
        <v>0</v>
      </c>
      <c r="BL161" s="671">
        <v>0</v>
      </c>
      <c r="BM161" s="671">
        <v>0</v>
      </c>
      <c r="BN161" s="671">
        <v>0</v>
      </c>
      <c r="BO161" s="671">
        <v>0</v>
      </c>
      <c r="BP161" s="671">
        <v>0</v>
      </c>
      <c r="BQ161" s="671">
        <v>0</v>
      </c>
      <c r="BR161" s="671">
        <v>0</v>
      </c>
      <c r="BS161" s="671">
        <v>0</v>
      </c>
      <c r="BT161" s="671">
        <v>0</v>
      </c>
      <c r="BU161" s="671">
        <v>0</v>
      </c>
      <c r="BV161" s="671">
        <v>0</v>
      </c>
      <c r="BW161" s="671">
        <v>0</v>
      </c>
      <c r="BX161" s="671">
        <v>0</v>
      </c>
      <c r="BY161" s="671">
        <v>0</v>
      </c>
      <c r="BZ161" s="671">
        <v>0</v>
      </c>
      <c r="CA161" s="671">
        <v>0</v>
      </c>
      <c r="CB161" s="671">
        <v>0</v>
      </c>
      <c r="CC161" s="671">
        <v>0</v>
      </c>
      <c r="CD161" s="671">
        <v>0</v>
      </c>
      <c r="CE161" s="671">
        <v>0</v>
      </c>
      <c r="CF161" s="671">
        <v>0</v>
      </c>
      <c r="CG161" s="671">
        <v>0</v>
      </c>
      <c r="CH161" s="671">
        <v>0</v>
      </c>
      <c r="CI161" s="671">
        <v>0</v>
      </c>
      <c r="CJ161" s="1478"/>
      <c r="CK161" s="1478"/>
      <c r="CL161" s="1478"/>
      <c r="CM161" s="1478"/>
      <c r="CN161" s="1478"/>
      <c r="CO161" s="1478"/>
      <c r="CP161" s="1478"/>
      <c r="CQ161" s="1478"/>
      <c r="CR161" s="1478"/>
      <c r="CS161" s="1478"/>
    </row>
    <row r="162" spans="1:97" ht="28" x14ac:dyDescent="0.35">
      <c r="B162" s="850" t="s">
        <v>421</v>
      </c>
      <c r="C162" s="851" t="s">
        <v>422</v>
      </c>
      <c r="D162" s="675" t="s">
        <v>423</v>
      </c>
      <c r="E162" s="676" t="s">
        <v>398</v>
      </c>
      <c r="F162" s="677">
        <v>2</v>
      </c>
      <c r="G162" s="670">
        <v>0</v>
      </c>
      <c r="H162" s="670">
        <v>0</v>
      </c>
      <c r="I162" s="670">
        <v>0</v>
      </c>
      <c r="J162" s="670">
        <v>0</v>
      </c>
      <c r="K162" s="670">
        <v>0</v>
      </c>
      <c r="L162" s="670">
        <v>0</v>
      </c>
      <c r="M162" s="671">
        <v>0</v>
      </c>
      <c r="N162" s="671">
        <v>0</v>
      </c>
      <c r="O162" s="671">
        <v>0</v>
      </c>
      <c r="P162" s="671">
        <v>0</v>
      </c>
      <c r="Q162" s="671">
        <v>0</v>
      </c>
      <c r="R162" s="671">
        <v>0</v>
      </c>
      <c r="S162" s="671">
        <v>0</v>
      </c>
      <c r="T162" s="671">
        <v>0</v>
      </c>
      <c r="U162" s="671">
        <v>0</v>
      </c>
      <c r="V162" s="671">
        <v>0</v>
      </c>
      <c r="W162" s="671">
        <v>0</v>
      </c>
      <c r="X162" s="671">
        <v>0</v>
      </c>
      <c r="Y162" s="671">
        <v>0</v>
      </c>
      <c r="Z162" s="671">
        <v>0</v>
      </c>
      <c r="AA162" s="671">
        <v>0</v>
      </c>
      <c r="AB162" s="671">
        <v>0</v>
      </c>
      <c r="AC162" s="671">
        <v>0</v>
      </c>
      <c r="AD162" s="671">
        <v>0</v>
      </c>
      <c r="AE162" s="671">
        <v>0</v>
      </c>
      <c r="AF162" s="671">
        <v>0</v>
      </c>
      <c r="AG162" s="671">
        <v>0</v>
      </c>
      <c r="AH162" s="671">
        <v>0</v>
      </c>
      <c r="AI162" s="671">
        <v>0</v>
      </c>
      <c r="AJ162" s="671">
        <v>0</v>
      </c>
      <c r="AK162" s="671">
        <v>0</v>
      </c>
      <c r="AL162" s="671">
        <v>0</v>
      </c>
      <c r="AM162" s="671">
        <v>0</v>
      </c>
      <c r="AN162" s="671">
        <v>0</v>
      </c>
      <c r="AO162" s="671">
        <v>0</v>
      </c>
      <c r="AP162" s="671">
        <v>0</v>
      </c>
      <c r="AQ162" s="671">
        <v>0</v>
      </c>
      <c r="AR162" s="671">
        <v>0</v>
      </c>
      <c r="AS162" s="671">
        <v>0</v>
      </c>
      <c r="AT162" s="671">
        <v>0</v>
      </c>
      <c r="AU162" s="671">
        <v>0</v>
      </c>
      <c r="AV162" s="671">
        <v>0</v>
      </c>
      <c r="AW162" s="671">
        <v>0</v>
      </c>
      <c r="AX162" s="671">
        <v>0</v>
      </c>
      <c r="AY162" s="671">
        <v>0</v>
      </c>
      <c r="AZ162" s="671">
        <v>0</v>
      </c>
      <c r="BA162" s="671">
        <v>0</v>
      </c>
      <c r="BB162" s="671">
        <v>0</v>
      </c>
      <c r="BC162" s="671">
        <v>0</v>
      </c>
      <c r="BD162" s="671">
        <v>0</v>
      </c>
      <c r="BE162" s="671">
        <v>0</v>
      </c>
      <c r="BF162" s="671">
        <v>0</v>
      </c>
      <c r="BG162" s="671">
        <v>0</v>
      </c>
      <c r="BH162" s="671">
        <v>0</v>
      </c>
      <c r="BI162" s="671">
        <v>0</v>
      </c>
      <c r="BJ162" s="671">
        <v>0</v>
      </c>
      <c r="BK162" s="671">
        <v>0</v>
      </c>
      <c r="BL162" s="671">
        <v>0</v>
      </c>
      <c r="BM162" s="671">
        <v>0</v>
      </c>
      <c r="BN162" s="671">
        <v>0</v>
      </c>
      <c r="BO162" s="671">
        <v>0</v>
      </c>
      <c r="BP162" s="671">
        <v>0</v>
      </c>
      <c r="BQ162" s="671">
        <v>0</v>
      </c>
      <c r="BR162" s="671">
        <v>0</v>
      </c>
      <c r="BS162" s="671">
        <v>0</v>
      </c>
      <c r="BT162" s="671">
        <v>0</v>
      </c>
      <c r="BU162" s="671">
        <v>0</v>
      </c>
      <c r="BV162" s="671">
        <v>0</v>
      </c>
      <c r="BW162" s="671">
        <v>0</v>
      </c>
      <c r="BX162" s="671">
        <v>0</v>
      </c>
      <c r="BY162" s="671">
        <v>0</v>
      </c>
      <c r="BZ162" s="671">
        <v>0</v>
      </c>
      <c r="CA162" s="671">
        <v>0</v>
      </c>
      <c r="CB162" s="671">
        <v>0</v>
      </c>
      <c r="CC162" s="671">
        <v>0</v>
      </c>
      <c r="CD162" s="671">
        <v>0</v>
      </c>
      <c r="CE162" s="671">
        <v>0</v>
      </c>
      <c r="CF162" s="671">
        <v>0</v>
      </c>
      <c r="CG162" s="671">
        <v>0</v>
      </c>
      <c r="CH162" s="671">
        <v>0</v>
      </c>
      <c r="CI162" s="671">
        <v>0</v>
      </c>
      <c r="CJ162" s="1478"/>
      <c r="CK162" s="1478"/>
      <c r="CL162" s="1478"/>
      <c r="CM162" s="1478"/>
      <c r="CN162" s="1478"/>
      <c r="CO162" s="1478"/>
      <c r="CP162" s="1478"/>
      <c r="CQ162" s="1478"/>
      <c r="CR162" s="1478"/>
      <c r="CS162" s="1478"/>
    </row>
    <row r="163" spans="1:97" x14ac:dyDescent="0.35">
      <c r="B163" s="850" t="s">
        <v>424</v>
      </c>
      <c r="C163" s="851" t="s">
        <v>425</v>
      </c>
      <c r="D163" s="770" t="s">
        <v>82</v>
      </c>
      <c r="E163" s="832" t="s">
        <v>398</v>
      </c>
      <c r="F163" s="833">
        <v>2</v>
      </c>
      <c r="G163" s="670">
        <v>2.1680000000000001</v>
      </c>
      <c r="H163" s="670">
        <v>2.1680000000000001</v>
      </c>
      <c r="I163" s="670">
        <v>2.1680000000000001</v>
      </c>
      <c r="J163" s="670">
        <v>2.1680000000000001</v>
      </c>
      <c r="K163" s="670">
        <v>2.1680000000000001</v>
      </c>
      <c r="L163" s="670">
        <v>2.1680000000000001</v>
      </c>
      <c r="M163" s="671">
        <v>2.1680000000000001</v>
      </c>
      <c r="N163" s="671">
        <v>2.1680000000000001</v>
      </c>
      <c r="O163" s="671">
        <v>2.1680000000000001</v>
      </c>
      <c r="P163" s="671">
        <v>2.1680000000000001</v>
      </c>
      <c r="Q163" s="671">
        <v>2.1680000000000001</v>
      </c>
      <c r="R163" s="671">
        <v>2.1680000000000001</v>
      </c>
      <c r="S163" s="671">
        <v>2.1680000000000001</v>
      </c>
      <c r="T163" s="671">
        <v>2.1680000000000001</v>
      </c>
      <c r="U163" s="671">
        <v>2.1680000000000001</v>
      </c>
      <c r="V163" s="671">
        <v>2.1680000000000001</v>
      </c>
      <c r="W163" s="671">
        <v>2.1680000000000001</v>
      </c>
      <c r="X163" s="671">
        <v>2.1680000000000001</v>
      </c>
      <c r="Y163" s="671">
        <v>2.1680000000000001</v>
      </c>
      <c r="Z163" s="671">
        <v>2.1680000000000001</v>
      </c>
      <c r="AA163" s="671">
        <v>2.1680000000000001</v>
      </c>
      <c r="AB163" s="671">
        <v>2.1680000000000001</v>
      </c>
      <c r="AC163" s="671">
        <v>2.1680000000000001</v>
      </c>
      <c r="AD163" s="671">
        <v>2.1680000000000001</v>
      </c>
      <c r="AE163" s="671">
        <v>2.1680000000000001</v>
      </c>
      <c r="AF163" s="671">
        <v>2.1680000000000001</v>
      </c>
      <c r="AG163" s="671">
        <v>2.1680000000000001</v>
      </c>
      <c r="AH163" s="671">
        <v>2.1680000000000001</v>
      </c>
      <c r="AI163" s="671">
        <v>2.1680000000000001</v>
      </c>
      <c r="AJ163" s="671">
        <v>2.1680000000000001</v>
      </c>
      <c r="AK163" s="671">
        <v>2.1680000000000001</v>
      </c>
      <c r="AL163" s="671">
        <v>2.1680000000000001</v>
      </c>
      <c r="AM163" s="671">
        <v>2.1680000000000001</v>
      </c>
      <c r="AN163" s="671">
        <v>2.1680000000000001</v>
      </c>
      <c r="AO163" s="671">
        <v>2.1680000000000001</v>
      </c>
      <c r="AP163" s="671">
        <v>2.1680000000000001</v>
      </c>
      <c r="AQ163" s="671">
        <v>2.1680000000000001</v>
      </c>
      <c r="AR163" s="671">
        <v>2.1680000000000001</v>
      </c>
      <c r="AS163" s="671">
        <v>2.1680000000000001</v>
      </c>
      <c r="AT163" s="671">
        <v>2.1680000000000001</v>
      </c>
      <c r="AU163" s="671">
        <v>2.1680000000000001</v>
      </c>
      <c r="AV163" s="671">
        <v>2.1680000000000001</v>
      </c>
      <c r="AW163" s="671">
        <v>2.1680000000000001</v>
      </c>
      <c r="AX163" s="671">
        <v>2.1680000000000001</v>
      </c>
      <c r="AY163" s="671">
        <v>2.1680000000000001</v>
      </c>
      <c r="AZ163" s="671">
        <v>2.1680000000000001</v>
      </c>
      <c r="BA163" s="671">
        <v>2.1680000000000001</v>
      </c>
      <c r="BB163" s="671">
        <v>2.1680000000000001</v>
      </c>
      <c r="BC163" s="671">
        <v>2.1680000000000001</v>
      </c>
      <c r="BD163" s="671">
        <v>2.1680000000000001</v>
      </c>
      <c r="BE163" s="671">
        <v>2.1680000000000001</v>
      </c>
      <c r="BF163" s="671">
        <v>2.1680000000000001</v>
      </c>
      <c r="BG163" s="671">
        <v>2.1680000000000001</v>
      </c>
      <c r="BH163" s="671">
        <v>2.1680000000000001</v>
      </c>
      <c r="BI163" s="671">
        <v>2.1680000000000001</v>
      </c>
      <c r="BJ163" s="671">
        <v>2.1680000000000001</v>
      </c>
      <c r="BK163" s="671">
        <v>2.1680000000000001</v>
      </c>
      <c r="BL163" s="671">
        <v>2.1680000000000001</v>
      </c>
      <c r="BM163" s="671">
        <v>2.1680000000000001</v>
      </c>
      <c r="BN163" s="671">
        <v>2.1680000000000001</v>
      </c>
      <c r="BO163" s="671">
        <v>2.1680000000000001</v>
      </c>
      <c r="BP163" s="671">
        <v>2.1680000000000001</v>
      </c>
      <c r="BQ163" s="671">
        <v>2.1680000000000001</v>
      </c>
      <c r="BR163" s="671">
        <v>2.1680000000000001</v>
      </c>
      <c r="BS163" s="671">
        <v>2.1680000000000001</v>
      </c>
      <c r="BT163" s="671">
        <v>2.1680000000000001</v>
      </c>
      <c r="BU163" s="671">
        <v>2.1680000000000001</v>
      </c>
      <c r="BV163" s="671">
        <v>2.1680000000000001</v>
      </c>
      <c r="BW163" s="671">
        <v>2.1680000000000001</v>
      </c>
      <c r="BX163" s="671">
        <v>2.1680000000000001</v>
      </c>
      <c r="BY163" s="671">
        <v>2.1680000000000001</v>
      </c>
      <c r="BZ163" s="671">
        <v>2.1680000000000001</v>
      </c>
      <c r="CA163" s="671">
        <v>2.1680000000000001</v>
      </c>
      <c r="CB163" s="671">
        <v>2.1680000000000001</v>
      </c>
      <c r="CC163" s="671">
        <v>2.1680000000000001</v>
      </c>
      <c r="CD163" s="671">
        <v>2.1680000000000001</v>
      </c>
      <c r="CE163" s="671">
        <v>2.1680000000000001</v>
      </c>
      <c r="CF163" s="671">
        <v>2.1680000000000001</v>
      </c>
      <c r="CG163" s="671">
        <v>2.1680000000000001</v>
      </c>
      <c r="CH163" s="671">
        <v>2.1680000000000001</v>
      </c>
      <c r="CI163" s="671">
        <v>2.1680000000000001</v>
      </c>
      <c r="CJ163" s="1478"/>
      <c r="CK163" s="1478"/>
      <c r="CL163" s="1478"/>
      <c r="CM163" s="1478"/>
      <c r="CN163" s="1478"/>
      <c r="CO163" s="1478"/>
      <c r="CP163" s="1478"/>
      <c r="CQ163" s="1478"/>
      <c r="CR163" s="1478"/>
      <c r="CS163" s="1478"/>
    </row>
    <row r="164" spans="1:97" ht="28" x14ac:dyDescent="0.35">
      <c r="B164" s="850" t="s">
        <v>426</v>
      </c>
      <c r="C164" s="851" t="s">
        <v>427</v>
      </c>
      <c r="D164" s="770" t="s">
        <v>82</v>
      </c>
      <c r="E164" s="832" t="s">
        <v>398</v>
      </c>
      <c r="F164" s="833">
        <v>2</v>
      </c>
      <c r="G164" s="670">
        <v>34.685000000000002</v>
      </c>
      <c r="H164" s="670">
        <v>33.991300000000003</v>
      </c>
      <c r="I164" s="670">
        <v>33.831166670000002</v>
      </c>
      <c r="J164" s="670">
        <v>33.090279410000001</v>
      </c>
      <c r="K164" s="670">
        <v>32.364084810000001</v>
      </c>
      <c r="L164" s="670">
        <v>31.651472330000001</v>
      </c>
      <c r="M164" s="671">
        <v>29.013849635833331</v>
      </c>
      <c r="N164" s="671">
        <v>26.376226941666662</v>
      </c>
      <c r="O164" s="671">
        <v>23.738604247499993</v>
      </c>
      <c r="P164" s="671">
        <v>21.10098155333332</v>
      </c>
      <c r="Q164" s="671">
        <v>18.463358859166654</v>
      </c>
      <c r="R164" s="671">
        <v>15.825736164999981</v>
      </c>
      <c r="S164" s="671">
        <v>13.188113470833311</v>
      </c>
      <c r="T164" s="671">
        <v>10.550490776666642</v>
      </c>
      <c r="U164" s="671">
        <v>7.9128680824999726</v>
      </c>
      <c r="V164" s="671">
        <v>5.2752453883333033</v>
      </c>
      <c r="W164" s="671">
        <v>2.6376226941666339</v>
      </c>
      <c r="X164" s="671">
        <v>0</v>
      </c>
      <c r="Y164" s="671">
        <v>0</v>
      </c>
      <c r="Z164" s="671">
        <v>0</v>
      </c>
      <c r="AA164" s="671">
        <v>0</v>
      </c>
      <c r="AB164" s="671">
        <v>0</v>
      </c>
      <c r="AC164" s="671">
        <v>0</v>
      </c>
      <c r="AD164" s="671">
        <v>0</v>
      </c>
      <c r="AE164" s="671">
        <v>0</v>
      </c>
      <c r="AF164" s="671">
        <v>0</v>
      </c>
      <c r="AG164" s="671">
        <v>0</v>
      </c>
      <c r="AH164" s="671">
        <v>0</v>
      </c>
      <c r="AI164" s="671">
        <v>0</v>
      </c>
      <c r="AJ164" s="671">
        <v>0</v>
      </c>
      <c r="AK164" s="671">
        <v>0</v>
      </c>
      <c r="AL164" s="671">
        <v>0</v>
      </c>
      <c r="AM164" s="671">
        <v>0</v>
      </c>
      <c r="AN164" s="671">
        <v>0</v>
      </c>
      <c r="AO164" s="671">
        <v>0</v>
      </c>
      <c r="AP164" s="671">
        <v>0</v>
      </c>
      <c r="AQ164" s="671">
        <v>0</v>
      </c>
      <c r="AR164" s="671">
        <v>0</v>
      </c>
      <c r="AS164" s="671">
        <v>0</v>
      </c>
      <c r="AT164" s="671">
        <v>0</v>
      </c>
      <c r="AU164" s="671">
        <v>0</v>
      </c>
      <c r="AV164" s="671">
        <v>0</v>
      </c>
      <c r="AW164" s="671">
        <v>0</v>
      </c>
      <c r="AX164" s="671">
        <v>0</v>
      </c>
      <c r="AY164" s="671">
        <v>0</v>
      </c>
      <c r="AZ164" s="671">
        <v>0</v>
      </c>
      <c r="BA164" s="671">
        <v>0</v>
      </c>
      <c r="BB164" s="671">
        <v>0</v>
      </c>
      <c r="BC164" s="671">
        <v>0</v>
      </c>
      <c r="BD164" s="671">
        <v>0</v>
      </c>
      <c r="BE164" s="671">
        <v>0</v>
      </c>
      <c r="BF164" s="671">
        <v>0</v>
      </c>
      <c r="BG164" s="671">
        <v>0</v>
      </c>
      <c r="BH164" s="671">
        <v>0</v>
      </c>
      <c r="BI164" s="671">
        <v>0</v>
      </c>
      <c r="BJ164" s="671">
        <v>0</v>
      </c>
      <c r="BK164" s="671">
        <v>0</v>
      </c>
      <c r="BL164" s="671">
        <v>0</v>
      </c>
      <c r="BM164" s="671">
        <v>0</v>
      </c>
      <c r="BN164" s="671">
        <v>0</v>
      </c>
      <c r="BO164" s="671">
        <v>0</v>
      </c>
      <c r="BP164" s="671">
        <v>0</v>
      </c>
      <c r="BQ164" s="671">
        <v>0</v>
      </c>
      <c r="BR164" s="671">
        <v>0</v>
      </c>
      <c r="BS164" s="671">
        <v>0</v>
      </c>
      <c r="BT164" s="671">
        <v>0</v>
      </c>
      <c r="BU164" s="671">
        <v>0</v>
      </c>
      <c r="BV164" s="671">
        <v>0</v>
      </c>
      <c r="BW164" s="671">
        <v>0</v>
      </c>
      <c r="BX164" s="671">
        <v>0</v>
      </c>
      <c r="BY164" s="671">
        <v>0</v>
      </c>
      <c r="BZ164" s="671">
        <v>0</v>
      </c>
      <c r="CA164" s="671">
        <v>0</v>
      </c>
      <c r="CB164" s="671">
        <v>0</v>
      </c>
      <c r="CC164" s="671">
        <v>0</v>
      </c>
      <c r="CD164" s="671">
        <v>0</v>
      </c>
      <c r="CE164" s="671">
        <v>0</v>
      </c>
      <c r="CF164" s="671">
        <v>0</v>
      </c>
      <c r="CG164" s="671">
        <v>0</v>
      </c>
      <c r="CH164" s="671">
        <v>0</v>
      </c>
      <c r="CI164" s="671">
        <v>0</v>
      </c>
      <c r="CJ164" s="1478"/>
      <c r="CK164" s="1478"/>
      <c r="CL164" s="1478"/>
      <c r="CM164" s="1478"/>
      <c r="CN164" s="1478"/>
      <c r="CO164" s="1478"/>
      <c r="CP164" s="1478"/>
      <c r="CQ164" s="1478"/>
      <c r="CR164" s="1478"/>
      <c r="CS164" s="1478"/>
    </row>
    <row r="165" spans="1:97" x14ac:dyDescent="0.35">
      <c r="B165" s="850" t="s">
        <v>428</v>
      </c>
      <c r="C165" s="851" t="s">
        <v>429</v>
      </c>
      <c r="D165" s="770" t="s">
        <v>82</v>
      </c>
      <c r="E165" s="832" t="s">
        <v>398</v>
      </c>
      <c r="F165" s="833">
        <v>2</v>
      </c>
      <c r="G165" s="670">
        <v>0.88</v>
      </c>
      <c r="H165" s="670">
        <v>0.88</v>
      </c>
      <c r="I165" s="670">
        <v>0.88</v>
      </c>
      <c r="J165" s="670">
        <v>0.88</v>
      </c>
      <c r="K165" s="670">
        <v>0.88</v>
      </c>
      <c r="L165" s="670">
        <v>0.88</v>
      </c>
      <c r="M165" s="671">
        <v>0.88</v>
      </c>
      <c r="N165" s="671">
        <v>0.88</v>
      </c>
      <c r="O165" s="671">
        <v>0.88</v>
      </c>
      <c r="P165" s="671">
        <v>0.88</v>
      </c>
      <c r="Q165" s="671">
        <v>0.88</v>
      </c>
      <c r="R165" s="671">
        <v>0.88</v>
      </c>
      <c r="S165" s="671">
        <v>0.88</v>
      </c>
      <c r="T165" s="671">
        <v>0.88</v>
      </c>
      <c r="U165" s="671">
        <v>0.88</v>
      </c>
      <c r="V165" s="671">
        <v>0.88</v>
      </c>
      <c r="W165" s="671">
        <v>0.88</v>
      </c>
      <c r="X165" s="671">
        <v>0.88</v>
      </c>
      <c r="Y165" s="671">
        <v>0.88</v>
      </c>
      <c r="Z165" s="671">
        <v>0.88</v>
      </c>
      <c r="AA165" s="671">
        <v>0.88</v>
      </c>
      <c r="AB165" s="671">
        <v>0.88</v>
      </c>
      <c r="AC165" s="671">
        <v>0.88</v>
      </c>
      <c r="AD165" s="671">
        <v>0.88</v>
      </c>
      <c r="AE165" s="671">
        <v>0.88</v>
      </c>
      <c r="AF165" s="671">
        <v>0.88</v>
      </c>
      <c r="AG165" s="671">
        <v>0.88</v>
      </c>
      <c r="AH165" s="671">
        <v>0.88</v>
      </c>
      <c r="AI165" s="671">
        <v>0.88</v>
      </c>
      <c r="AJ165" s="671">
        <v>0.88</v>
      </c>
      <c r="AK165" s="671">
        <v>0.88</v>
      </c>
      <c r="AL165" s="671">
        <v>0.88</v>
      </c>
      <c r="AM165" s="671">
        <v>0.88</v>
      </c>
      <c r="AN165" s="671">
        <v>0.88</v>
      </c>
      <c r="AO165" s="671">
        <v>0.88</v>
      </c>
      <c r="AP165" s="671">
        <v>0.88</v>
      </c>
      <c r="AQ165" s="671">
        <v>0.88</v>
      </c>
      <c r="AR165" s="671">
        <v>0.88</v>
      </c>
      <c r="AS165" s="671">
        <v>0.88</v>
      </c>
      <c r="AT165" s="671">
        <v>0.88</v>
      </c>
      <c r="AU165" s="671">
        <v>0.88</v>
      </c>
      <c r="AV165" s="671">
        <v>0.88</v>
      </c>
      <c r="AW165" s="671">
        <v>0.88</v>
      </c>
      <c r="AX165" s="671">
        <v>0.88</v>
      </c>
      <c r="AY165" s="671">
        <v>0.88</v>
      </c>
      <c r="AZ165" s="671">
        <v>0.88</v>
      </c>
      <c r="BA165" s="671">
        <v>0.88</v>
      </c>
      <c r="BB165" s="671">
        <v>0.88</v>
      </c>
      <c r="BC165" s="671">
        <v>0.88</v>
      </c>
      <c r="BD165" s="671">
        <v>0.88</v>
      </c>
      <c r="BE165" s="671">
        <v>0.88</v>
      </c>
      <c r="BF165" s="671">
        <v>0.88</v>
      </c>
      <c r="BG165" s="671">
        <v>0.88</v>
      </c>
      <c r="BH165" s="671">
        <v>0.88</v>
      </c>
      <c r="BI165" s="671">
        <v>0.88</v>
      </c>
      <c r="BJ165" s="671">
        <v>0.88</v>
      </c>
      <c r="BK165" s="671">
        <v>0.88</v>
      </c>
      <c r="BL165" s="671">
        <v>0.88</v>
      </c>
      <c r="BM165" s="671">
        <v>0.88</v>
      </c>
      <c r="BN165" s="671">
        <v>0.88</v>
      </c>
      <c r="BO165" s="671">
        <v>0.88</v>
      </c>
      <c r="BP165" s="671">
        <v>0.88</v>
      </c>
      <c r="BQ165" s="671">
        <v>0.88</v>
      </c>
      <c r="BR165" s="671">
        <v>0.88</v>
      </c>
      <c r="BS165" s="671">
        <v>0.88</v>
      </c>
      <c r="BT165" s="671">
        <v>0.88</v>
      </c>
      <c r="BU165" s="671">
        <v>0.88</v>
      </c>
      <c r="BV165" s="671">
        <v>0.88</v>
      </c>
      <c r="BW165" s="671">
        <v>0.88</v>
      </c>
      <c r="BX165" s="671">
        <v>0.88</v>
      </c>
      <c r="BY165" s="671">
        <v>0.88</v>
      </c>
      <c r="BZ165" s="671">
        <v>0.88</v>
      </c>
      <c r="CA165" s="671">
        <v>0.88</v>
      </c>
      <c r="CB165" s="671">
        <v>0.88</v>
      </c>
      <c r="CC165" s="671">
        <v>0.88</v>
      </c>
      <c r="CD165" s="671">
        <v>0.88</v>
      </c>
      <c r="CE165" s="671">
        <v>0.88</v>
      </c>
      <c r="CF165" s="671">
        <v>0.88</v>
      </c>
      <c r="CG165" s="671">
        <v>0.88</v>
      </c>
      <c r="CH165" s="671">
        <v>0.88</v>
      </c>
      <c r="CI165" s="671">
        <v>0.88</v>
      </c>
      <c r="CJ165" s="1478"/>
      <c r="CK165" s="1478"/>
      <c r="CL165" s="1478"/>
      <c r="CM165" s="1478"/>
      <c r="CN165" s="1478"/>
      <c r="CO165" s="1478"/>
      <c r="CP165" s="1478"/>
      <c r="CQ165" s="1478"/>
      <c r="CR165" s="1478"/>
      <c r="CS165" s="1478"/>
    </row>
    <row r="166" spans="1:97" ht="28.5" thickBot="1" x14ac:dyDescent="0.4">
      <c r="B166" s="852" t="s">
        <v>609</v>
      </c>
      <c r="C166" s="853" t="s">
        <v>431</v>
      </c>
      <c r="D166" s="854" t="s">
        <v>610</v>
      </c>
      <c r="E166" s="855" t="s">
        <v>398</v>
      </c>
      <c r="F166" s="856">
        <v>2</v>
      </c>
      <c r="G166" s="813">
        <f>SUM(G153:G156)+G163+G164+G165</f>
        <v>147.773</v>
      </c>
      <c r="H166" s="813">
        <f t="shared" ref="H166:BS166" si="137">SUM(H153:H156)+H163+H164+H165</f>
        <v>146.07929999999999</v>
      </c>
      <c r="I166" s="813">
        <f t="shared" si="137"/>
        <v>147.03816667000001</v>
      </c>
      <c r="J166" s="813">
        <f t="shared" si="137"/>
        <v>150.15957471000002</v>
      </c>
      <c r="K166" s="813">
        <f t="shared" si="137"/>
        <v>152.97016381</v>
      </c>
      <c r="L166" s="813">
        <f t="shared" si="137"/>
        <v>155.80501913000001</v>
      </c>
      <c r="M166" s="813">
        <f t="shared" si="137"/>
        <v>158.84184242000001</v>
      </c>
      <c r="N166" s="813">
        <f t="shared" si="137"/>
        <v>161.32860464999999</v>
      </c>
      <c r="O166" s="813">
        <f t="shared" si="137"/>
        <v>164.2936181</v>
      </c>
      <c r="P166" s="813">
        <f t="shared" si="137"/>
        <v>167.15540056</v>
      </c>
      <c r="Q166" s="813">
        <f t="shared" si="137"/>
        <v>169.75426596999998</v>
      </c>
      <c r="R166" s="813">
        <f t="shared" si="137"/>
        <v>172.27520358999999</v>
      </c>
      <c r="S166" s="813">
        <f t="shared" si="137"/>
        <v>174.47545024000001</v>
      </c>
      <c r="T166" s="813">
        <f t="shared" si="137"/>
        <v>176.34312566999998</v>
      </c>
      <c r="U166" s="813">
        <f t="shared" si="137"/>
        <v>178.21295280999999</v>
      </c>
      <c r="V166" s="813">
        <f t="shared" si="137"/>
        <v>180.07705250999999</v>
      </c>
      <c r="W166" s="813">
        <f t="shared" si="137"/>
        <v>181.82161420999998</v>
      </c>
      <c r="X166" s="813">
        <f t="shared" si="137"/>
        <v>181.47875261583337</v>
      </c>
      <c r="Y166" s="813">
        <f t="shared" si="137"/>
        <v>183.66953001583335</v>
      </c>
      <c r="Z166" s="813">
        <f t="shared" si="137"/>
        <v>185.83527681583337</v>
      </c>
      <c r="AA166" s="813">
        <f t="shared" si="137"/>
        <v>187.99861581583335</v>
      </c>
      <c r="AB166" s="813">
        <f t="shared" si="137"/>
        <v>190.15844491583334</v>
      </c>
      <c r="AC166" s="813">
        <f t="shared" si="137"/>
        <v>192.26499641583337</v>
      </c>
      <c r="AD166" s="813">
        <f t="shared" si="137"/>
        <v>194.29964741583333</v>
      </c>
      <c r="AE166" s="813">
        <f t="shared" si="137"/>
        <v>196.28579711583336</v>
      </c>
      <c r="AF166" s="813">
        <f t="shared" si="137"/>
        <v>198.19967511583337</v>
      </c>
      <c r="AG166" s="813">
        <f t="shared" si="137"/>
        <v>200.06566201583337</v>
      </c>
      <c r="AH166" s="813">
        <f t="shared" si="137"/>
        <v>201.85891261583336</v>
      </c>
      <c r="AI166" s="813">
        <f t="shared" si="137"/>
        <v>203.60382001583335</v>
      </c>
      <c r="AJ166" s="813">
        <f t="shared" si="137"/>
        <v>205.27846891583334</v>
      </c>
      <c r="AK166" s="813">
        <f t="shared" si="137"/>
        <v>206.90298391583335</v>
      </c>
      <c r="AL166" s="813">
        <f t="shared" si="137"/>
        <v>207.92268601583336</v>
      </c>
      <c r="AM166" s="813">
        <f t="shared" si="137"/>
        <v>208.91102271583335</v>
      </c>
      <c r="AN166" s="813">
        <f t="shared" si="137"/>
        <v>209.87185461583334</v>
      </c>
      <c r="AO166" s="813">
        <f t="shared" si="137"/>
        <v>210.81921591583335</v>
      </c>
      <c r="AP166" s="813">
        <f t="shared" si="137"/>
        <v>211.75601781583333</v>
      </c>
      <c r="AQ166" s="813">
        <f t="shared" si="137"/>
        <v>212.71078481583336</v>
      </c>
      <c r="AR166" s="813">
        <f t="shared" si="137"/>
        <v>213.63379641583339</v>
      </c>
      <c r="AS166" s="813">
        <f t="shared" si="137"/>
        <v>214.50796541583338</v>
      </c>
      <c r="AT166" s="813">
        <f t="shared" si="137"/>
        <v>215.33098171583333</v>
      </c>
      <c r="AU166" s="813">
        <f t="shared" si="137"/>
        <v>216.15615641583335</v>
      </c>
      <c r="AV166" s="813">
        <f t="shared" si="137"/>
        <v>216.95019841583337</v>
      </c>
      <c r="AW166" s="813">
        <f t="shared" si="137"/>
        <v>217.73119261583335</v>
      </c>
      <c r="AX166" s="813">
        <f t="shared" si="137"/>
        <v>218.49801541583332</v>
      </c>
      <c r="AY166" s="813">
        <f t="shared" si="137"/>
        <v>219.27919701583335</v>
      </c>
      <c r="AZ166" s="813">
        <f t="shared" si="137"/>
        <v>220.06016781583338</v>
      </c>
      <c r="BA166" s="813">
        <f t="shared" si="137"/>
        <v>220.86011411583334</v>
      </c>
      <c r="BB166" s="813">
        <f t="shared" si="137"/>
        <v>221.64255121583338</v>
      </c>
      <c r="BC166" s="813">
        <f t="shared" si="137"/>
        <v>222.42033381583337</v>
      </c>
      <c r="BD166" s="813">
        <f t="shared" si="137"/>
        <v>223.19034541583335</v>
      </c>
      <c r="BE166" s="813">
        <f t="shared" si="137"/>
        <v>223.97068021583334</v>
      </c>
      <c r="BF166" s="813">
        <f t="shared" si="137"/>
        <v>224.75361321583335</v>
      </c>
      <c r="BG166" s="813">
        <f t="shared" si="137"/>
        <v>225.55247181583334</v>
      </c>
      <c r="BH166" s="813">
        <f t="shared" si="137"/>
        <v>226.34954171583334</v>
      </c>
      <c r="BI166" s="813">
        <f t="shared" si="137"/>
        <v>227.15975541583339</v>
      </c>
      <c r="BJ166" s="813">
        <f t="shared" si="137"/>
        <v>227.95381381583337</v>
      </c>
      <c r="BK166" s="813">
        <f t="shared" si="137"/>
        <v>228.76343911583336</v>
      </c>
      <c r="BL166" s="813">
        <f t="shared" si="137"/>
        <v>229.55509741583336</v>
      </c>
      <c r="BM166" s="813">
        <f t="shared" si="137"/>
        <v>230.35735481583333</v>
      </c>
      <c r="BN166" s="813">
        <f t="shared" si="137"/>
        <v>231.16619651583335</v>
      </c>
      <c r="BO166" s="813">
        <f t="shared" si="137"/>
        <v>231.99546871583337</v>
      </c>
      <c r="BP166" s="813">
        <f t="shared" si="137"/>
        <v>232.84437971583336</v>
      </c>
      <c r="BQ166" s="813">
        <f t="shared" si="137"/>
        <v>233.72361641583336</v>
      </c>
      <c r="BR166" s="813">
        <f t="shared" si="137"/>
        <v>234.61230561583338</v>
      </c>
      <c r="BS166" s="813">
        <f t="shared" si="137"/>
        <v>235.51365521583335</v>
      </c>
      <c r="BT166" s="813">
        <f t="shared" ref="BT166:CI166" si="138">SUM(BT153:BT156)+BT163+BT164+BT165</f>
        <v>236.41522881583336</v>
      </c>
      <c r="BU166" s="813">
        <f t="shared" si="138"/>
        <v>237.34036381583337</v>
      </c>
      <c r="BV166" s="813">
        <f t="shared" si="138"/>
        <v>238.27027891583336</v>
      </c>
      <c r="BW166" s="813">
        <f t="shared" si="138"/>
        <v>239.21128761583336</v>
      </c>
      <c r="BX166" s="813">
        <f t="shared" si="138"/>
        <v>240.15309581583335</v>
      </c>
      <c r="BY166" s="813">
        <f t="shared" si="138"/>
        <v>241.11797551583336</v>
      </c>
      <c r="BZ166" s="813">
        <f t="shared" si="138"/>
        <v>242.09567761583338</v>
      </c>
      <c r="CA166" s="813">
        <f t="shared" si="138"/>
        <v>243.08926921583335</v>
      </c>
      <c r="CB166" s="813">
        <f t="shared" si="138"/>
        <v>244.07886671583336</v>
      </c>
      <c r="CC166" s="813">
        <f t="shared" si="138"/>
        <v>245.06531241583338</v>
      </c>
      <c r="CD166" s="813">
        <f t="shared" si="138"/>
        <v>246.04795461583336</v>
      </c>
      <c r="CE166" s="813">
        <f t="shared" si="138"/>
        <v>247.04046731583335</v>
      </c>
      <c r="CF166" s="813">
        <f t="shared" si="138"/>
        <v>248.01864621583334</v>
      </c>
      <c r="CG166" s="813">
        <f t="shared" si="138"/>
        <v>248.98644861583335</v>
      </c>
      <c r="CH166" s="813">
        <f t="shared" si="138"/>
        <v>249.92928221583335</v>
      </c>
      <c r="CI166" s="813">
        <f t="shared" si="138"/>
        <v>250.86826631583338</v>
      </c>
      <c r="CJ166" s="1478"/>
      <c r="CK166" s="1478"/>
      <c r="CL166" s="1478"/>
      <c r="CM166" s="1478"/>
      <c r="CN166" s="1478"/>
      <c r="CO166" s="1478"/>
      <c r="CP166" s="1478"/>
      <c r="CQ166" s="1478"/>
      <c r="CR166" s="1478"/>
      <c r="CS166" s="1478"/>
    </row>
    <row r="167" spans="1:97" s="1618" customFormat="1" x14ac:dyDescent="0.35">
      <c r="B167" s="790" t="s">
        <v>433</v>
      </c>
      <c r="C167" s="791" t="s">
        <v>434</v>
      </c>
      <c r="D167" s="792" t="s">
        <v>82</v>
      </c>
      <c r="E167" s="857" t="s">
        <v>398</v>
      </c>
      <c r="F167" s="858">
        <v>2</v>
      </c>
      <c r="G167" s="666">
        <v>21.454731398820876</v>
      </c>
      <c r="H167" s="666">
        <v>21.454731398820876</v>
      </c>
      <c r="I167" s="666">
        <v>21.454731398820876</v>
      </c>
      <c r="J167" s="666">
        <v>21.454731398820876</v>
      </c>
      <c r="K167" s="666">
        <v>21.562064515352247</v>
      </c>
      <c r="L167" s="666">
        <v>21.662525824785231</v>
      </c>
      <c r="M167" s="667">
        <v>21.754975000619886</v>
      </c>
      <c r="N167" s="667">
        <v>21.828702419519423</v>
      </c>
      <c r="O167" s="667">
        <v>21.949910676240922</v>
      </c>
      <c r="P167" s="667">
        <v>22.069834638833999</v>
      </c>
      <c r="Q167" s="667">
        <v>22.188175112962721</v>
      </c>
      <c r="R167" s="667">
        <v>22.303603692293166</v>
      </c>
      <c r="S167" s="667">
        <v>22.411287964105604</v>
      </c>
      <c r="T167" s="667">
        <v>22.589103701829909</v>
      </c>
      <c r="U167" s="667">
        <v>22.719451670885086</v>
      </c>
      <c r="V167" s="667">
        <v>22.832256766557691</v>
      </c>
      <c r="W167" s="667">
        <v>22.920876761674879</v>
      </c>
      <c r="X167" s="667">
        <v>23.000280903100968</v>
      </c>
      <c r="Y167" s="667">
        <v>23.076595118761063</v>
      </c>
      <c r="Z167" s="667">
        <v>23.153694403886796</v>
      </c>
      <c r="AA167" s="667">
        <v>23.238798850297929</v>
      </c>
      <c r="AB167" s="667">
        <v>23.321403010606765</v>
      </c>
      <c r="AC167" s="667">
        <v>23.410032223939893</v>
      </c>
      <c r="AD167" s="667">
        <v>23.511650136232376</v>
      </c>
      <c r="AE167" s="667">
        <v>23.62581652188301</v>
      </c>
      <c r="AF167" s="667">
        <v>23.747162997484207</v>
      </c>
      <c r="AG167" s="667">
        <v>23.872536496400834</v>
      </c>
      <c r="AH167" s="667">
        <v>24.012559724092483</v>
      </c>
      <c r="AI167" s="667">
        <v>24.164656998872758</v>
      </c>
      <c r="AJ167" s="667">
        <v>24.314333844423295</v>
      </c>
      <c r="AK167" s="667">
        <v>24.465158190965653</v>
      </c>
      <c r="AL167" s="667">
        <v>24.606392518281936</v>
      </c>
      <c r="AM167" s="667">
        <v>24.585693319624902</v>
      </c>
      <c r="AN167" s="667">
        <v>24.6942370763729</v>
      </c>
      <c r="AO167" s="667">
        <v>24.802780833120998</v>
      </c>
      <c r="AP167" s="667">
        <v>24.911324589869096</v>
      </c>
      <c r="AQ167" s="667">
        <v>25.019868346617098</v>
      </c>
      <c r="AR167" s="667">
        <v>25.1284121033652</v>
      </c>
      <c r="AS167" s="667">
        <v>25.236955860113298</v>
      </c>
      <c r="AT167" s="667">
        <v>25.3454996168613</v>
      </c>
      <c r="AU167" s="667">
        <v>25.454043373609398</v>
      </c>
      <c r="AV167" s="667">
        <v>25.5625871303575</v>
      </c>
      <c r="AW167" s="667">
        <v>25.671130887105502</v>
      </c>
      <c r="AX167" s="667">
        <v>25.7796746438536</v>
      </c>
      <c r="AY167" s="667">
        <v>25.888218400601701</v>
      </c>
      <c r="AZ167" s="667">
        <v>25.9967621573497</v>
      </c>
      <c r="BA167" s="667">
        <v>26.105305914097801</v>
      </c>
      <c r="BB167" s="667">
        <v>26.213849670845899</v>
      </c>
      <c r="BC167" s="667">
        <v>26.322393427594001</v>
      </c>
      <c r="BD167" s="667">
        <v>26.430937184342</v>
      </c>
      <c r="BE167" s="667">
        <v>26.539480941090098</v>
      </c>
      <c r="BF167" s="667">
        <v>26.648024697838199</v>
      </c>
      <c r="BG167" s="667">
        <v>26.756568454586198</v>
      </c>
      <c r="BH167" s="667">
        <v>26.865112211334299</v>
      </c>
      <c r="BI167" s="667">
        <v>26.973655968082397</v>
      </c>
      <c r="BJ167" s="667">
        <v>27.082199724830399</v>
      </c>
      <c r="BK167" s="667">
        <v>27.190743481578501</v>
      </c>
      <c r="BL167" s="667">
        <v>27.299287238326599</v>
      </c>
      <c r="BM167" s="667">
        <v>27.407830995074601</v>
      </c>
      <c r="BN167" s="667">
        <v>27.516374751822699</v>
      </c>
      <c r="BO167" s="667">
        <v>27.624918508570801</v>
      </c>
      <c r="BP167" s="667">
        <v>27.733462265318803</v>
      </c>
      <c r="BQ167" s="667">
        <v>27.842006022066901</v>
      </c>
      <c r="BR167" s="667">
        <v>27.950549778814999</v>
      </c>
      <c r="BS167" s="667">
        <v>28.059093535562997</v>
      </c>
      <c r="BT167" s="667">
        <v>28.167637292311099</v>
      </c>
      <c r="BU167" s="667">
        <v>28.276181049059197</v>
      </c>
      <c r="BV167" s="667">
        <v>28.384724805807203</v>
      </c>
      <c r="BW167" s="667">
        <v>28.493268562555301</v>
      </c>
      <c r="BX167" s="667">
        <v>28.601812319303399</v>
      </c>
      <c r="BY167" s="667">
        <v>28.710356076051397</v>
      </c>
      <c r="BZ167" s="667">
        <v>28.818899832799502</v>
      </c>
      <c r="CA167" s="667">
        <v>28.9274435895476</v>
      </c>
      <c r="CB167" s="667">
        <v>29.035987346295698</v>
      </c>
      <c r="CC167" s="667">
        <v>29.144531103043697</v>
      </c>
      <c r="CD167" s="667">
        <v>29.253074859791802</v>
      </c>
      <c r="CE167" s="667">
        <v>29.3616186165399</v>
      </c>
      <c r="CF167" s="667">
        <v>29.470162373287899</v>
      </c>
      <c r="CG167" s="667">
        <v>29.578706130035997</v>
      </c>
      <c r="CH167" s="667">
        <v>29.687249886784095</v>
      </c>
      <c r="CI167" s="668">
        <v>29.7957936435321</v>
      </c>
      <c r="CJ167" s="1478">
        <v>29.904337400280198</v>
      </c>
      <c r="CK167" s="1478"/>
      <c r="CL167" s="1478"/>
      <c r="CM167" s="1478"/>
      <c r="CN167" s="1478"/>
      <c r="CO167" s="1478"/>
      <c r="CP167" s="1478"/>
      <c r="CQ167" s="1478"/>
      <c r="CR167" s="1478"/>
      <c r="CS167" s="1478"/>
    </row>
    <row r="168" spans="1:97" s="1618" customFormat="1" x14ac:dyDescent="0.35">
      <c r="B168" s="804" t="s">
        <v>435</v>
      </c>
      <c r="C168" s="805" t="s">
        <v>436</v>
      </c>
      <c r="D168" s="799" t="s">
        <v>82</v>
      </c>
      <c r="E168" s="859" t="s">
        <v>398</v>
      </c>
      <c r="F168" s="860">
        <v>2</v>
      </c>
      <c r="G168" s="670">
        <v>3.89</v>
      </c>
      <c r="H168" s="670">
        <v>3.89</v>
      </c>
      <c r="I168" s="670">
        <v>3.89</v>
      </c>
      <c r="J168" s="670">
        <v>3.89</v>
      </c>
      <c r="K168" s="670">
        <v>3.89</v>
      </c>
      <c r="L168" s="670">
        <v>3.89</v>
      </c>
      <c r="M168" s="671">
        <v>3.89</v>
      </c>
      <c r="N168" s="671">
        <v>3.89</v>
      </c>
      <c r="O168" s="671">
        <v>3.89</v>
      </c>
      <c r="P168" s="671">
        <v>3.89</v>
      </c>
      <c r="Q168" s="671">
        <v>3.89</v>
      </c>
      <c r="R168" s="671">
        <v>3.89</v>
      </c>
      <c r="S168" s="671">
        <v>3.89</v>
      </c>
      <c r="T168" s="671">
        <v>3.89</v>
      </c>
      <c r="U168" s="671">
        <v>3.89</v>
      </c>
      <c r="V168" s="671">
        <v>3.89</v>
      </c>
      <c r="W168" s="671">
        <v>3.89</v>
      </c>
      <c r="X168" s="671">
        <v>3.89</v>
      </c>
      <c r="Y168" s="671">
        <v>3.89</v>
      </c>
      <c r="Z168" s="671">
        <v>3.89</v>
      </c>
      <c r="AA168" s="671">
        <v>3.89</v>
      </c>
      <c r="AB168" s="671">
        <v>3.89</v>
      </c>
      <c r="AC168" s="671">
        <v>3.89</v>
      </c>
      <c r="AD168" s="671">
        <v>3.89</v>
      </c>
      <c r="AE168" s="671">
        <v>3.89</v>
      </c>
      <c r="AF168" s="671">
        <v>3.89</v>
      </c>
      <c r="AG168" s="671">
        <v>3.89</v>
      </c>
      <c r="AH168" s="671">
        <v>3.89</v>
      </c>
      <c r="AI168" s="671">
        <v>3.89</v>
      </c>
      <c r="AJ168" s="671">
        <v>3.89</v>
      </c>
      <c r="AK168" s="671">
        <v>3.89</v>
      </c>
      <c r="AL168" s="671">
        <v>3.89</v>
      </c>
      <c r="AM168" s="671">
        <v>3.89</v>
      </c>
      <c r="AN168" s="671">
        <v>3.89</v>
      </c>
      <c r="AO168" s="671">
        <v>3.89</v>
      </c>
      <c r="AP168" s="671">
        <v>3.89</v>
      </c>
      <c r="AQ168" s="671">
        <v>3.89</v>
      </c>
      <c r="AR168" s="671">
        <v>3.89</v>
      </c>
      <c r="AS168" s="671">
        <v>3.89</v>
      </c>
      <c r="AT168" s="671">
        <v>3.89</v>
      </c>
      <c r="AU168" s="671">
        <v>3.89</v>
      </c>
      <c r="AV168" s="671">
        <v>3.89</v>
      </c>
      <c r="AW168" s="671">
        <v>3.89</v>
      </c>
      <c r="AX168" s="671">
        <v>3.89</v>
      </c>
      <c r="AY168" s="671">
        <v>3.89</v>
      </c>
      <c r="AZ168" s="671">
        <v>3.89</v>
      </c>
      <c r="BA168" s="671">
        <v>3.89</v>
      </c>
      <c r="BB168" s="671">
        <v>3.89</v>
      </c>
      <c r="BC168" s="671">
        <v>3.89</v>
      </c>
      <c r="BD168" s="671">
        <v>3.89</v>
      </c>
      <c r="BE168" s="671">
        <v>3.89</v>
      </c>
      <c r="BF168" s="671">
        <v>3.89</v>
      </c>
      <c r="BG168" s="671">
        <v>3.89</v>
      </c>
      <c r="BH168" s="671">
        <v>3.89</v>
      </c>
      <c r="BI168" s="671">
        <v>3.89</v>
      </c>
      <c r="BJ168" s="671">
        <v>3.89</v>
      </c>
      <c r="BK168" s="671">
        <v>3.89</v>
      </c>
      <c r="BL168" s="671">
        <v>3.89</v>
      </c>
      <c r="BM168" s="671">
        <v>3.89</v>
      </c>
      <c r="BN168" s="671">
        <v>3.89</v>
      </c>
      <c r="BO168" s="671">
        <v>3.89</v>
      </c>
      <c r="BP168" s="671">
        <v>3.89</v>
      </c>
      <c r="BQ168" s="671">
        <v>3.89</v>
      </c>
      <c r="BR168" s="671">
        <v>3.89</v>
      </c>
      <c r="BS168" s="671">
        <v>3.89</v>
      </c>
      <c r="BT168" s="671">
        <v>3.89</v>
      </c>
      <c r="BU168" s="671">
        <v>3.89</v>
      </c>
      <c r="BV168" s="671">
        <v>3.89</v>
      </c>
      <c r="BW168" s="671">
        <v>3.89</v>
      </c>
      <c r="BX168" s="671">
        <v>3.89</v>
      </c>
      <c r="BY168" s="671">
        <v>3.89</v>
      </c>
      <c r="BZ168" s="671">
        <v>3.89</v>
      </c>
      <c r="CA168" s="671">
        <v>3.89</v>
      </c>
      <c r="CB168" s="671">
        <v>3.89</v>
      </c>
      <c r="CC168" s="671">
        <v>3.89</v>
      </c>
      <c r="CD168" s="671">
        <v>3.89</v>
      </c>
      <c r="CE168" s="671">
        <v>3.89</v>
      </c>
      <c r="CF168" s="671">
        <v>3.89</v>
      </c>
      <c r="CG168" s="671">
        <v>3.89</v>
      </c>
      <c r="CH168" s="671">
        <v>3.89</v>
      </c>
      <c r="CI168" s="671">
        <v>3.89</v>
      </c>
      <c r="CJ168" s="1478">
        <v>3.89</v>
      </c>
      <c r="CK168" s="1478"/>
      <c r="CL168" s="1478"/>
      <c r="CM168" s="1478"/>
      <c r="CN168" s="1478"/>
      <c r="CO168" s="1478"/>
      <c r="CP168" s="1478"/>
      <c r="CQ168" s="1478"/>
      <c r="CR168" s="1478"/>
      <c r="CS168" s="1478"/>
    </row>
    <row r="169" spans="1:97" s="1618" customFormat="1" x14ac:dyDescent="0.35">
      <c r="B169" s="797" t="s">
        <v>437</v>
      </c>
      <c r="C169" s="861" t="s">
        <v>438</v>
      </c>
      <c r="D169" s="799" t="s">
        <v>82</v>
      </c>
      <c r="E169" s="859" t="s">
        <v>398</v>
      </c>
      <c r="F169" s="860">
        <v>2</v>
      </c>
      <c r="G169" s="670">
        <v>230.19824350000002</v>
      </c>
      <c r="H169" s="670">
        <v>236.88780679999999</v>
      </c>
      <c r="I169" s="670">
        <v>244.7</v>
      </c>
      <c r="J169" s="670">
        <v>255.6014098</v>
      </c>
      <c r="K169" s="670">
        <v>264.71380589999995</v>
      </c>
      <c r="L169" s="670">
        <v>273.86312050000004</v>
      </c>
      <c r="M169" s="671">
        <v>289.75055835181814</v>
      </c>
      <c r="N169" s="671">
        <v>303.74746534363635</v>
      </c>
      <c r="O169" s="671">
        <v>318.88572456545455</v>
      </c>
      <c r="P169" s="671">
        <v>333.75362324727274</v>
      </c>
      <c r="Q169" s="671">
        <v>347.67475834909089</v>
      </c>
      <c r="R169" s="671">
        <v>361.37044014090912</v>
      </c>
      <c r="S169" s="671">
        <v>373.81884110272722</v>
      </c>
      <c r="T169" s="671">
        <v>385.32146781454537</v>
      </c>
      <c r="U169" s="671">
        <v>396.95283340636354</v>
      </c>
      <c r="V169" s="671">
        <v>408.75045425818178</v>
      </c>
      <c r="W169" s="671">
        <v>420.00845988999998</v>
      </c>
      <c r="X169" s="671">
        <v>422.80978419999997</v>
      </c>
      <c r="Y169" s="671">
        <v>425.37903606999998</v>
      </c>
      <c r="Z169" s="671">
        <v>428.16572658000001</v>
      </c>
      <c r="AA169" s="671">
        <v>430.62756588999997</v>
      </c>
      <c r="AB169" s="671">
        <v>433.11183986000003</v>
      </c>
      <c r="AC169" s="671">
        <v>435.54349449</v>
      </c>
      <c r="AD169" s="671">
        <v>437.90593825999997</v>
      </c>
      <c r="AE169" s="671">
        <v>440.24808402999997</v>
      </c>
      <c r="AF169" s="671">
        <v>442.45729614999999</v>
      </c>
      <c r="AG169" s="671">
        <v>444.45444335000002</v>
      </c>
      <c r="AH169" s="671">
        <v>446.30860184000005</v>
      </c>
      <c r="AI169" s="671">
        <v>448.11645051000005</v>
      </c>
      <c r="AJ169" s="671">
        <v>449.82540564999999</v>
      </c>
      <c r="AK169" s="671">
        <v>451.37190677000001</v>
      </c>
      <c r="AL169" s="671">
        <v>451.80112171000007</v>
      </c>
      <c r="AM169" s="671">
        <v>452.21425261000002</v>
      </c>
      <c r="AN169" s="671">
        <v>452.61568951999999</v>
      </c>
      <c r="AO169" s="671">
        <v>452.98561281999997</v>
      </c>
      <c r="AP169" s="671">
        <v>453.3470509</v>
      </c>
      <c r="AQ169" s="671">
        <v>453.67247873999997</v>
      </c>
      <c r="AR169" s="671">
        <v>454.00142471999999</v>
      </c>
      <c r="AS169" s="671">
        <v>454.30868371000003</v>
      </c>
      <c r="AT169" s="671">
        <v>454.58607365</v>
      </c>
      <c r="AU169" s="671">
        <v>454.85169349</v>
      </c>
      <c r="AV169" s="671">
        <v>455.09009236999998</v>
      </c>
      <c r="AW169" s="671">
        <v>455.32132846999997</v>
      </c>
      <c r="AX169" s="671">
        <v>455.54210635999999</v>
      </c>
      <c r="AY169" s="671">
        <v>455.73675852000002</v>
      </c>
      <c r="AZ169" s="671">
        <v>455.92279744999996</v>
      </c>
      <c r="BA169" s="671">
        <v>456.106131</v>
      </c>
      <c r="BB169" s="671">
        <v>456.30629723999999</v>
      </c>
      <c r="BC169" s="671">
        <v>456.51039450999997</v>
      </c>
      <c r="BD169" s="671">
        <v>456.72780993999999</v>
      </c>
      <c r="BE169" s="671">
        <v>456.95135103000001</v>
      </c>
      <c r="BF169" s="671">
        <v>457.18363714999998</v>
      </c>
      <c r="BG169" s="671">
        <v>457.44756877000003</v>
      </c>
      <c r="BH169" s="671">
        <v>457.73398552999998</v>
      </c>
      <c r="BI169" s="671">
        <v>458.05340166999997</v>
      </c>
      <c r="BJ169" s="671">
        <v>458.39932943000002</v>
      </c>
      <c r="BK169" s="671">
        <v>458.76365042999998</v>
      </c>
      <c r="BL169" s="671">
        <v>459.16169122999997</v>
      </c>
      <c r="BM169" s="671">
        <v>459.59490068999997</v>
      </c>
      <c r="BN169" s="671">
        <v>460.05948784999998</v>
      </c>
      <c r="BO169" s="671">
        <v>460.55471614000004</v>
      </c>
      <c r="BP169" s="671">
        <v>461.07351062999999</v>
      </c>
      <c r="BQ169" s="671">
        <v>461.61660083000004</v>
      </c>
      <c r="BR169" s="671">
        <v>462.18530535000002</v>
      </c>
      <c r="BS169" s="671">
        <v>462.76942093999997</v>
      </c>
      <c r="BT169" s="671">
        <v>463.36996821999998</v>
      </c>
      <c r="BU169" s="671">
        <v>463.97823922999999</v>
      </c>
      <c r="BV169" s="671">
        <v>464.60177874999999</v>
      </c>
      <c r="BW169" s="671">
        <v>465.22448809000002</v>
      </c>
      <c r="BX169" s="671">
        <v>465.84909906000001</v>
      </c>
      <c r="BY169" s="671">
        <v>466.47100480999995</v>
      </c>
      <c r="BZ169" s="671">
        <v>467.08483787</v>
      </c>
      <c r="CA169" s="671">
        <v>467.69486574000007</v>
      </c>
      <c r="CB169" s="671">
        <v>468.30375601000003</v>
      </c>
      <c r="CC169" s="671">
        <v>468.91053782</v>
      </c>
      <c r="CD169" s="671">
        <v>469.51079011999997</v>
      </c>
      <c r="CE169" s="671">
        <v>470.09404892000003</v>
      </c>
      <c r="CF169" s="671">
        <v>470.66498897000002</v>
      </c>
      <c r="CG169" s="671">
        <v>471.23106488000002</v>
      </c>
      <c r="CH169" s="671">
        <v>471.79250310000003</v>
      </c>
      <c r="CI169" s="672">
        <v>472.33900004000003</v>
      </c>
      <c r="CJ169" s="1478"/>
      <c r="CK169" s="1478"/>
      <c r="CL169" s="1478"/>
      <c r="CM169" s="1478"/>
      <c r="CN169" s="1478"/>
      <c r="CO169" s="1478"/>
      <c r="CP169" s="1478"/>
      <c r="CQ169" s="1478"/>
      <c r="CR169" s="1478"/>
      <c r="CS169" s="1478"/>
    </row>
    <row r="170" spans="1:97" s="1618" customFormat="1" x14ac:dyDescent="0.35">
      <c r="A170" s="1657"/>
      <c r="B170" s="797" t="s">
        <v>439</v>
      </c>
      <c r="C170" s="861" t="s">
        <v>440</v>
      </c>
      <c r="D170" s="799" t="s">
        <v>82</v>
      </c>
      <c r="E170" s="859" t="s">
        <v>398</v>
      </c>
      <c r="F170" s="860">
        <v>2</v>
      </c>
      <c r="G170" s="670">
        <v>96.723756460000004</v>
      </c>
      <c r="H170" s="670">
        <v>95.109690570000012</v>
      </c>
      <c r="I170" s="670">
        <v>95.680999999999997</v>
      </c>
      <c r="J170" s="670">
        <v>94.439377660000005</v>
      </c>
      <c r="K170" s="670">
        <v>92.843784329999991</v>
      </c>
      <c r="L170" s="670">
        <v>91.256070410000007</v>
      </c>
      <c r="M170" s="671">
        <v>83.269154918181826</v>
      </c>
      <c r="N170" s="671">
        <v>75.282239426363645</v>
      </c>
      <c r="O170" s="671">
        <v>67.295323934545465</v>
      </c>
      <c r="P170" s="671">
        <v>59.308408442727284</v>
      </c>
      <c r="Q170" s="671">
        <v>51.321492950909111</v>
      </c>
      <c r="R170" s="671">
        <v>43.33457745909093</v>
      </c>
      <c r="S170" s="671">
        <v>35.347661967272749</v>
      </c>
      <c r="T170" s="671">
        <v>27.360746475454569</v>
      </c>
      <c r="U170" s="671">
        <v>19.373830983636395</v>
      </c>
      <c r="V170" s="671">
        <v>11.386915491818215</v>
      </c>
      <c r="W170" s="671">
        <v>3.4000000000000341</v>
      </c>
      <c r="X170" s="671">
        <v>3.4</v>
      </c>
      <c r="Y170" s="671">
        <v>3.4</v>
      </c>
      <c r="Z170" s="671">
        <v>3.4</v>
      </c>
      <c r="AA170" s="671">
        <v>3.4</v>
      </c>
      <c r="AB170" s="671">
        <v>3.4</v>
      </c>
      <c r="AC170" s="671">
        <v>3.4</v>
      </c>
      <c r="AD170" s="671">
        <v>3.4</v>
      </c>
      <c r="AE170" s="671">
        <v>3.4</v>
      </c>
      <c r="AF170" s="671">
        <v>3.4</v>
      </c>
      <c r="AG170" s="671">
        <v>3.4</v>
      </c>
      <c r="AH170" s="671">
        <v>3.4</v>
      </c>
      <c r="AI170" s="671">
        <v>3.4</v>
      </c>
      <c r="AJ170" s="671">
        <v>3.4</v>
      </c>
      <c r="AK170" s="671">
        <v>3.4</v>
      </c>
      <c r="AL170" s="671">
        <v>3.4</v>
      </c>
      <c r="AM170" s="671">
        <v>3.4</v>
      </c>
      <c r="AN170" s="671">
        <v>3.4</v>
      </c>
      <c r="AO170" s="671">
        <v>3.4</v>
      </c>
      <c r="AP170" s="671">
        <v>3.4</v>
      </c>
      <c r="AQ170" s="671">
        <v>3.4</v>
      </c>
      <c r="AR170" s="671">
        <v>3.4</v>
      </c>
      <c r="AS170" s="671">
        <v>3.4</v>
      </c>
      <c r="AT170" s="671">
        <v>3.4</v>
      </c>
      <c r="AU170" s="671">
        <v>3.4</v>
      </c>
      <c r="AV170" s="671">
        <v>3.4</v>
      </c>
      <c r="AW170" s="671">
        <v>3.4</v>
      </c>
      <c r="AX170" s="671">
        <v>3.4</v>
      </c>
      <c r="AY170" s="671">
        <v>3.4</v>
      </c>
      <c r="AZ170" s="671">
        <v>3.4</v>
      </c>
      <c r="BA170" s="671">
        <v>3.4</v>
      </c>
      <c r="BB170" s="671">
        <v>3.4</v>
      </c>
      <c r="BC170" s="671">
        <v>3.4</v>
      </c>
      <c r="BD170" s="671">
        <v>3.4</v>
      </c>
      <c r="BE170" s="671">
        <v>3.4</v>
      </c>
      <c r="BF170" s="671">
        <v>3.4</v>
      </c>
      <c r="BG170" s="671">
        <v>3.4</v>
      </c>
      <c r="BH170" s="671">
        <v>3.4</v>
      </c>
      <c r="BI170" s="671">
        <v>3.4</v>
      </c>
      <c r="BJ170" s="671">
        <v>3.4</v>
      </c>
      <c r="BK170" s="671">
        <v>3.4</v>
      </c>
      <c r="BL170" s="671">
        <v>3.4</v>
      </c>
      <c r="BM170" s="671">
        <v>3.4</v>
      </c>
      <c r="BN170" s="671">
        <v>3.4</v>
      </c>
      <c r="BO170" s="671">
        <v>3.4</v>
      </c>
      <c r="BP170" s="671">
        <v>3.4</v>
      </c>
      <c r="BQ170" s="671">
        <v>3.4</v>
      </c>
      <c r="BR170" s="671">
        <v>3.4</v>
      </c>
      <c r="BS170" s="671">
        <v>3.4</v>
      </c>
      <c r="BT170" s="671">
        <v>3.4</v>
      </c>
      <c r="BU170" s="671">
        <v>3.4</v>
      </c>
      <c r="BV170" s="671">
        <v>3.4</v>
      </c>
      <c r="BW170" s="671">
        <v>3.4</v>
      </c>
      <c r="BX170" s="671">
        <v>3.4</v>
      </c>
      <c r="BY170" s="671">
        <v>3.4</v>
      </c>
      <c r="BZ170" s="671">
        <v>3.4</v>
      </c>
      <c r="CA170" s="671">
        <v>3.4</v>
      </c>
      <c r="CB170" s="671">
        <v>3.4</v>
      </c>
      <c r="CC170" s="671">
        <v>3.4</v>
      </c>
      <c r="CD170" s="671">
        <v>3.4</v>
      </c>
      <c r="CE170" s="671">
        <v>3.4</v>
      </c>
      <c r="CF170" s="671">
        <v>3.4</v>
      </c>
      <c r="CG170" s="671">
        <v>3.4</v>
      </c>
      <c r="CH170" s="671">
        <v>3.4</v>
      </c>
      <c r="CI170" s="671">
        <v>3.4</v>
      </c>
      <c r="CJ170" s="1478"/>
      <c r="CK170" s="1478"/>
      <c r="CL170" s="1478"/>
      <c r="CM170" s="1478"/>
      <c r="CN170" s="1478"/>
      <c r="CO170" s="1478"/>
      <c r="CP170" s="1478"/>
      <c r="CQ170" s="1478"/>
      <c r="CR170" s="1478"/>
      <c r="CS170" s="1478"/>
    </row>
    <row r="171" spans="1:97" x14ac:dyDescent="0.35">
      <c r="B171" s="862" t="s">
        <v>611</v>
      </c>
      <c r="C171" s="861" t="s">
        <v>442</v>
      </c>
      <c r="D171" s="863" t="s">
        <v>612</v>
      </c>
      <c r="E171" s="859" t="s">
        <v>398</v>
      </c>
      <c r="F171" s="860">
        <v>2</v>
      </c>
      <c r="G171" s="642">
        <f>SUM(G167:G170)</f>
        <v>352.26673135882089</v>
      </c>
      <c r="H171" s="642">
        <f t="shared" ref="H171:BS171" si="139">SUM(H167:H170)</f>
        <v>357.34222876882086</v>
      </c>
      <c r="I171" s="642">
        <f t="shared" si="139"/>
        <v>365.72573139882087</v>
      </c>
      <c r="J171" s="642">
        <f t="shared" si="139"/>
        <v>375.38551885882089</v>
      </c>
      <c r="K171" s="642">
        <f t="shared" si="139"/>
        <v>383.00965474535218</v>
      </c>
      <c r="L171" s="642">
        <f t="shared" si="139"/>
        <v>390.67171673478526</v>
      </c>
      <c r="M171" s="802">
        <f t="shared" si="139"/>
        <v>398.66468827061982</v>
      </c>
      <c r="N171" s="802">
        <f t="shared" si="139"/>
        <v>404.74840718951941</v>
      </c>
      <c r="O171" s="802">
        <f t="shared" si="139"/>
        <v>412.02095917624098</v>
      </c>
      <c r="P171" s="802">
        <f t="shared" si="139"/>
        <v>419.02186632883405</v>
      </c>
      <c r="Q171" s="802">
        <f t="shared" si="139"/>
        <v>425.07442641296268</v>
      </c>
      <c r="R171" s="802">
        <f t="shared" si="139"/>
        <v>430.89862129229323</v>
      </c>
      <c r="S171" s="802">
        <f t="shared" si="139"/>
        <v>435.46779103410557</v>
      </c>
      <c r="T171" s="802">
        <f t="shared" si="139"/>
        <v>439.16131799182983</v>
      </c>
      <c r="U171" s="802">
        <f t="shared" si="139"/>
        <v>442.93611606088507</v>
      </c>
      <c r="V171" s="802">
        <f t="shared" si="139"/>
        <v>446.85962651655768</v>
      </c>
      <c r="W171" s="802">
        <f t="shared" si="139"/>
        <v>450.21933665167489</v>
      </c>
      <c r="X171" s="802">
        <f t="shared" si="139"/>
        <v>453.10006510310092</v>
      </c>
      <c r="Y171" s="802">
        <f t="shared" si="139"/>
        <v>455.74563118876102</v>
      </c>
      <c r="Z171" s="802">
        <f t="shared" si="139"/>
        <v>458.60942098388676</v>
      </c>
      <c r="AA171" s="802">
        <f t="shared" si="139"/>
        <v>461.15636474029787</v>
      </c>
      <c r="AB171" s="802">
        <f t="shared" si="139"/>
        <v>463.72324287060678</v>
      </c>
      <c r="AC171" s="802">
        <f t="shared" si="139"/>
        <v>466.2435267139399</v>
      </c>
      <c r="AD171" s="802">
        <f t="shared" si="139"/>
        <v>468.70758839623232</v>
      </c>
      <c r="AE171" s="802">
        <f t="shared" si="139"/>
        <v>471.16390055188299</v>
      </c>
      <c r="AF171" s="802">
        <f t="shared" si="139"/>
        <v>473.49445914748418</v>
      </c>
      <c r="AG171" s="802">
        <f t="shared" si="139"/>
        <v>475.61697984640085</v>
      </c>
      <c r="AH171" s="802">
        <f t="shared" si="139"/>
        <v>477.61116156409253</v>
      </c>
      <c r="AI171" s="802">
        <f t="shared" si="139"/>
        <v>479.57110750887279</v>
      </c>
      <c r="AJ171" s="802">
        <f t="shared" si="139"/>
        <v>481.42973949442325</v>
      </c>
      <c r="AK171" s="802">
        <f t="shared" si="139"/>
        <v>483.12706496096564</v>
      </c>
      <c r="AL171" s="802">
        <f t="shared" si="139"/>
        <v>483.69751422828199</v>
      </c>
      <c r="AM171" s="802">
        <f t="shared" si="139"/>
        <v>484.08994592962489</v>
      </c>
      <c r="AN171" s="802">
        <f t="shared" si="139"/>
        <v>484.59992659637288</v>
      </c>
      <c r="AO171" s="802">
        <f t="shared" si="139"/>
        <v>485.07839365312094</v>
      </c>
      <c r="AP171" s="802">
        <f t="shared" si="139"/>
        <v>485.54837548986904</v>
      </c>
      <c r="AQ171" s="802">
        <f t="shared" si="139"/>
        <v>485.98234708661704</v>
      </c>
      <c r="AR171" s="802">
        <f t="shared" si="139"/>
        <v>486.41983682336519</v>
      </c>
      <c r="AS171" s="802">
        <f t="shared" si="139"/>
        <v>486.8356395701133</v>
      </c>
      <c r="AT171" s="802">
        <f t="shared" si="139"/>
        <v>487.2215732668613</v>
      </c>
      <c r="AU171" s="802">
        <f t="shared" si="139"/>
        <v>487.59573686360937</v>
      </c>
      <c r="AV171" s="802">
        <f t="shared" si="139"/>
        <v>487.94267950035749</v>
      </c>
      <c r="AW171" s="802">
        <f t="shared" si="139"/>
        <v>488.28245935710544</v>
      </c>
      <c r="AX171" s="802">
        <f t="shared" si="139"/>
        <v>488.61178100385359</v>
      </c>
      <c r="AY171" s="802">
        <f t="shared" si="139"/>
        <v>488.9149769206017</v>
      </c>
      <c r="AZ171" s="802">
        <f t="shared" si="139"/>
        <v>489.20955960734966</v>
      </c>
      <c r="BA171" s="802">
        <f t="shared" si="139"/>
        <v>489.50143691409778</v>
      </c>
      <c r="BB171" s="802">
        <f t="shared" si="139"/>
        <v>489.81014691084584</v>
      </c>
      <c r="BC171" s="802">
        <f t="shared" si="139"/>
        <v>490.12278793759396</v>
      </c>
      <c r="BD171" s="802">
        <f t="shared" si="139"/>
        <v>490.44874712434193</v>
      </c>
      <c r="BE171" s="802">
        <f t="shared" si="139"/>
        <v>490.78083197109009</v>
      </c>
      <c r="BF171" s="802">
        <f t="shared" si="139"/>
        <v>491.12166184783814</v>
      </c>
      <c r="BG171" s="802">
        <f t="shared" si="139"/>
        <v>491.49413722458621</v>
      </c>
      <c r="BH171" s="802">
        <f t="shared" si="139"/>
        <v>491.88909774133424</v>
      </c>
      <c r="BI171" s="802">
        <f t="shared" si="139"/>
        <v>492.31705763808236</v>
      </c>
      <c r="BJ171" s="802">
        <f t="shared" si="139"/>
        <v>492.77152915483038</v>
      </c>
      <c r="BK171" s="802">
        <f t="shared" si="139"/>
        <v>493.24439391157847</v>
      </c>
      <c r="BL171" s="802">
        <f t="shared" si="139"/>
        <v>493.75097846832654</v>
      </c>
      <c r="BM171" s="802">
        <f t="shared" si="139"/>
        <v>494.29273168507456</v>
      </c>
      <c r="BN171" s="802">
        <f t="shared" si="139"/>
        <v>494.86586260182264</v>
      </c>
      <c r="BO171" s="802">
        <f t="shared" si="139"/>
        <v>495.46963464857083</v>
      </c>
      <c r="BP171" s="802">
        <f t="shared" si="139"/>
        <v>496.09697289531874</v>
      </c>
      <c r="BQ171" s="802">
        <f t="shared" si="139"/>
        <v>496.74860685206693</v>
      </c>
      <c r="BR171" s="802">
        <f t="shared" si="139"/>
        <v>497.42585512881499</v>
      </c>
      <c r="BS171" s="802">
        <f t="shared" si="139"/>
        <v>498.11851447556296</v>
      </c>
      <c r="BT171" s="802">
        <f t="shared" ref="BT171:CI171" si="140">SUM(BT167:BT170)</f>
        <v>498.82760551231104</v>
      </c>
      <c r="BU171" s="802">
        <f t="shared" si="140"/>
        <v>499.54442027905918</v>
      </c>
      <c r="BV171" s="802">
        <f t="shared" si="140"/>
        <v>500.27650355580715</v>
      </c>
      <c r="BW171" s="802">
        <f t="shared" si="140"/>
        <v>501.00775665255532</v>
      </c>
      <c r="BX171" s="802">
        <f t="shared" si="140"/>
        <v>501.74091137930338</v>
      </c>
      <c r="BY171" s="802">
        <f t="shared" si="140"/>
        <v>502.47136088605134</v>
      </c>
      <c r="BZ171" s="802">
        <f t="shared" si="140"/>
        <v>503.19373770279947</v>
      </c>
      <c r="CA171" s="802">
        <f t="shared" si="140"/>
        <v>503.91230932954767</v>
      </c>
      <c r="CB171" s="802">
        <f t="shared" si="140"/>
        <v>504.62974335629571</v>
      </c>
      <c r="CC171" s="802">
        <f t="shared" si="140"/>
        <v>505.3450689230437</v>
      </c>
      <c r="CD171" s="802">
        <f t="shared" si="140"/>
        <v>506.05386497979174</v>
      </c>
      <c r="CE171" s="802">
        <f t="shared" si="140"/>
        <v>506.74566753653994</v>
      </c>
      <c r="CF171" s="802">
        <f t="shared" si="140"/>
        <v>507.42515134328789</v>
      </c>
      <c r="CG171" s="802">
        <f t="shared" si="140"/>
        <v>508.09977101003597</v>
      </c>
      <c r="CH171" s="802">
        <f t="shared" si="140"/>
        <v>508.76975298678411</v>
      </c>
      <c r="CI171" s="803">
        <f t="shared" si="140"/>
        <v>509.42479368353213</v>
      </c>
      <c r="CJ171" s="1478"/>
      <c r="CK171" s="1478"/>
      <c r="CL171" s="1478"/>
      <c r="CM171" s="1478"/>
      <c r="CN171" s="1478"/>
      <c r="CO171" s="1478"/>
      <c r="CP171" s="1478"/>
      <c r="CQ171" s="1478"/>
      <c r="CR171" s="1478"/>
      <c r="CS171" s="1478"/>
    </row>
    <row r="172" spans="1:97" ht="28" x14ac:dyDescent="0.35">
      <c r="B172" s="862" t="s">
        <v>613</v>
      </c>
      <c r="C172" s="861" t="s">
        <v>445</v>
      </c>
      <c r="D172" s="863" t="s">
        <v>614</v>
      </c>
      <c r="E172" s="859" t="s">
        <v>447</v>
      </c>
      <c r="F172" s="860">
        <v>1</v>
      </c>
      <c r="G172" s="834">
        <f>(G170+G169)/(G156+G164)</f>
        <v>2.4253273486405278</v>
      </c>
      <c r="H172" s="834">
        <f t="shared" ref="H172:BS172" si="141">(H170+H169)/(H156+H164)</f>
        <v>2.4757216922580167</v>
      </c>
      <c r="I172" s="834">
        <f t="shared" si="141"/>
        <v>2.5207774558396014</v>
      </c>
      <c r="J172" s="834">
        <f t="shared" si="141"/>
        <v>2.5341113224466767</v>
      </c>
      <c r="K172" s="834">
        <f t="shared" si="141"/>
        <v>2.5374501431410525</v>
      </c>
      <c r="L172" s="834">
        <f t="shared" si="141"/>
        <v>2.5403657093851817</v>
      </c>
      <c r="M172" s="834">
        <f t="shared" si="141"/>
        <v>2.5421518793346674</v>
      </c>
      <c r="N172" s="834">
        <f t="shared" si="141"/>
        <v>2.5404032755707733</v>
      </c>
      <c r="O172" s="834">
        <f t="shared" si="141"/>
        <v>2.5383999705194618</v>
      </c>
      <c r="P172" s="834">
        <f t="shared" si="141"/>
        <v>2.5362538684330609</v>
      </c>
      <c r="Q172" s="834">
        <f t="shared" si="141"/>
        <v>2.5325655853752638</v>
      </c>
      <c r="R172" s="834">
        <f t="shared" si="141"/>
        <v>2.5286603484603885</v>
      </c>
      <c r="S172" s="834">
        <f t="shared" si="141"/>
        <v>2.5223334632904164</v>
      </c>
      <c r="T172" s="834">
        <f t="shared" si="141"/>
        <v>2.5153560977978189</v>
      </c>
      <c r="U172" s="834">
        <f t="shared" si="141"/>
        <v>2.5094287864135763</v>
      </c>
      <c r="V172" s="834">
        <f t="shared" si="141"/>
        <v>2.5045588244079915</v>
      </c>
      <c r="W172" s="834">
        <f t="shared" si="141"/>
        <v>2.4985213602567842</v>
      </c>
      <c r="X172" s="834">
        <f t="shared" si="141"/>
        <v>2.5204487715573465</v>
      </c>
      <c r="Y172" s="834">
        <f t="shared" si="141"/>
        <v>2.5036506215398102</v>
      </c>
      <c r="Z172" s="834">
        <f t="shared" si="141"/>
        <v>2.4887405794299102</v>
      </c>
      <c r="AA172" s="834">
        <f t="shared" si="141"/>
        <v>2.4725193304856328</v>
      </c>
      <c r="AB172" s="834">
        <f t="shared" si="141"/>
        <v>2.4567241491700131</v>
      </c>
      <c r="AC172" s="834">
        <f t="shared" si="141"/>
        <v>2.4418715445967307</v>
      </c>
      <c r="AD172" s="834">
        <f t="shared" si="141"/>
        <v>2.4278040306827284</v>
      </c>
      <c r="AE172" s="834">
        <f t="shared" si="141"/>
        <v>2.4147031151214247</v>
      </c>
      <c r="AF172" s="834">
        <f t="shared" si="141"/>
        <v>2.4019678513932812</v>
      </c>
      <c r="AG172" s="834">
        <f t="shared" si="141"/>
        <v>2.3890964953578293</v>
      </c>
      <c r="AH172" s="834">
        <f t="shared" si="141"/>
        <v>2.3765070707711207</v>
      </c>
      <c r="AI172" s="834">
        <f t="shared" si="141"/>
        <v>2.3646312366123543</v>
      </c>
      <c r="AJ172" s="834">
        <f t="shared" si="141"/>
        <v>2.3531895233757716</v>
      </c>
      <c r="AK172" s="834">
        <f t="shared" si="141"/>
        <v>2.3418313779263427</v>
      </c>
      <c r="AL172" s="834">
        <f t="shared" si="141"/>
        <v>2.3320364452599702</v>
      </c>
      <c r="AM172" s="834">
        <f t="shared" si="141"/>
        <v>2.3227490777445108</v>
      </c>
      <c r="AN172" s="834">
        <f t="shared" si="141"/>
        <v>2.3136981637953431</v>
      </c>
      <c r="AO172" s="834">
        <f t="shared" si="141"/>
        <v>2.3048472820549275</v>
      </c>
      <c r="AP172" s="834">
        <f t="shared" si="141"/>
        <v>2.2960418342018287</v>
      </c>
      <c r="AQ172" s="834">
        <f t="shared" si="141"/>
        <v>2.2870458330675625</v>
      </c>
      <c r="AR172" s="834">
        <f t="shared" si="141"/>
        <v>2.2783971017831357</v>
      </c>
      <c r="AS172" s="834">
        <f t="shared" si="141"/>
        <v>2.270380765025926</v>
      </c>
      <c r="AT172" s="834">
        <f t="shared" si="141"/>
        <v>2.2627437094429581</v>
      </c>
      <c r="AU172" s="834">
        <f t="shared" si="141"/>
        <v>2.2551961177847217</v>
      </c>
      <c r="AV172" s="834">
        <f t="shared" si="141"/>
        <v>2.2478067890178197</v>
      </c>
      <c r="AW172" s="834">
        <f t="shared" si="141"/>
        <v>2.2406905764253029</v>
      </c>
      <c r="AX172" s="834">
        <f t="shared" si="141"/>
        <v>2.2336208299356284</v>
      </c>
      <c r="AY172" s="834">
        <f t="shared" si="141"/>
        <v>2.2264285396653389</v>
      </c>
      <c r="AZ172" s="834">
        <f t="shared" si="141"/>
        <v>2.2191418821098239</v>
      </c>
      <c r="BA172" s="834">
        <f t="shared" si="141"/>
        <v>2.2118000240604041</v>
      </c>
      <c r="BB172" s="834">
        <f t="shared" si="141"/>
        <v>2.2046725015567765</v>
      </c>
      <c r="BC172" s="834">
        <f t="shared" si="141"/>
        <v>2.1977695943826938</v>
      </c>
      <c r="BD172" s="834">
        <f t="shared" si="141"/>
        <v>2.1909560079857564</v>
      </c>
      <c r="BE172" s="834">
        <f t="shared" si="141"/>
        <v>2.1842166296166532</v>
      </c>
      <c r="BF172" s="834">
        <f t="shared" si="141"/>
        <v>2.1775396631359514</v>
      </c>
      <c r="BG172" s="834">
        <f t="shared" si="141"/>
        <v>2.1709985417833262</v>
      </c>
      <c r="BH172" s="834">
        <f t="shared" si="141"/>
        <v>2.1645261380293901</v>
      </c>
      <c r="BI172" s="834">
        <f t="shared" si="141"/>
        <v>2.1582227823373832</v>
      </c>
      <c r="BJ172" s="834">
        <f t="shared" si="141"/>
        <v>2.152149961441387</v>
      </c>
      <c r="BK172" s="834">
        <f t="shared" si="141"/>
        <v>2.1461501684342812</v>
      </c>
      <c r="BL172" s="834">
        <f t="shared" si="141"/>
        <v>2.1404280412870409</v>
      </c>
      <c r="BM172" s="834">
        <f t="shared" si="141"/>
        <v>2.1349023751335352</v>
      </c>
      <c r="BN172" s="834">
        <f t="shared" si="141"/>
        <v>2.1293973268291451</v>
      </c>
      <c r="BO172" s="834">
        <f t="shared" si="141"/>
        <v>2.1239703923852069</v>
      </c>
      <c r="BP172" s="834">
        <f t="shared" si="141"/>
        <v>2.1184036297232471</v>
      </c>
      <c r="BQ172" s="834">
        <f t="shared" si="141"/>
        <v>2.1127935594656733</v>
      </c>
      <c r="BR172" s="834">
        <f t="shared" si="141"/>
        <v>2.1071565184138081</v>
      </c>
      <c r="BS172" s="834">
        <f t="shared" si="141"/>
        <v>2.101607393249151</v>
      </c>
      <c r="BT172" s="834">
        <f t="shared" ref="BT172:CI172" si="142">(BT170+BT169)/(BT156+BT164)</f>
        <v>2.0960787500123224</v>
      </c>
      <c r="BU172" s="834">
        <f t="shared" si="142"/>
        <v>2.0905009512490573</v>
      </c>
      <c r="BV172" s="834">
        <f t="shared" si="142"/>
        <v>2.0848978814238297</v>
      </c>
      <c r="BW172" s="834">
        <f t="shared" si="142"/>
        <v>2.0793257845570747</v>
      </c>
      <c r="BX172" s="834">
        <f t="shared" si="142"/>
        <v>2.0737074943809279</v>
      </c>
      <c r="BY172" s="834">
        <f t="shared" si="142"/>
        <v>2.0680034128926548</v>
      </c>
      <c r="BZ172" s="834">
        <f t="shared" si="142"/>
        <v>2.0621039045733602</v>
      </c>
      <c r="CA172" s="834">
        <f t="shared" si="142"/>
        <v>2.0561837370653602</v>
      </c>
      <c r="CB172" s="834">
        <f t="shared" si="142"/>
        <v>2.0502541792595319</v>
      </c>
      <c r="CC172" s="834">
        <f t="shared" si="142"/>
        <v>2.0444811381488002</v>
      </c>
      <c r="CD172" s="834">
        <f t="shared" si="142"/>
        <v>2.0386725983681377</v>
      </c>
      <c r="CE172" s="834">
        <f t="shared" si="142"/>
        <v>2.0328397443856776</v>
      </c>
      <c r="CF172" s="834">
        <f t="shared" si="142"/>
        <v>2.0270392913375597</v>
      </c>
      <c r="CG172" s="834">
        <f t="shared" si="142"/>
        <v>2.0214403786652357</v>
      </c>
      <c r="CH172" s="834">
        <f t="shared" si="142"/>
        <v>2.0159938829948802</v>
      </c>
      <c r="CI172" s="834">
        <f t="shared" si="142"/>
        <v>2.0106439481580716</v>
      </c>
      <c r="CJ172" s="1478"/>
      <c r="CK172" s="1478"/>
      <c r="CL172" s="1478"/>
      <c r="CM172" s="1478"/>
      <c r="CN172" s="1478"/>
      <c r="CO172" s="1478"/>
      <c r="CP172" s="1478"/>
      <c r="CQ172" s="1478"/>
      <c r="CR172" s="1478"/>
      <c r="CS172" s="1478"/>
    </row>
    <row r="173" spans="1:97" ht="28" x14ac:dyDescent="0.35">
      <c r="B173" s="862" t="s">
        <v>615</v>
      </c>
      <c r="C173" s="861" t="s">
        <v>449</v>
      </c>
      <c r="D173" s="863" t="s">
        <v>616</v>
      </c>
      <c r="E173" s="859" t="s">
        <v>359</v>
      </c>
      <c r="F173" s="860">
        <v>1</v>
      </c>
      <c r="G173" s="827">
        <f>G156/(G156+G164)</f>
        <v>0.74268333395155595</v>
      </c>
      <c r="H173" s="827">
        <f t="shared" ref="H173:BS173" si="143">H156/(H156+H164)</f>
        <v>0.74652520147082835</v>
      </c>
      <c r="I173" s="827">
        <f t="shared" si="143"/>
        <v>0.74945475145061524</v>
      </c>
      <c r="J173" s="827">
        <f t="shared" si="143"/>
        <v>0.76044376906966205</v>
      </c>
      <c r="K173" s="827">
        <f t="shared" si="143"/>
        <v>0.77032440681530967</v>
      </c>
      <c r="L173" s="827">
        <f t="shared" si="143"/>
        <v>0.77978063886949822</v>
      </c>
      <c r="M173" s="828">
        <f t="shared" si="143"/>
        <v>0.80226886206123971</v>
      </c>
      <c r="N173" s="828">
        <f t="shared" si="143"/>
        <v>0.8232163535560667</v>
      </c>
      <c r="O173" s="828">
        <f t="shared" si="143"/>
        <v>0.84396419100294839</v>
      </c>
      <c r="P173" s="828">
        <f t="shared" si="143"/>
        <v>0.86384478332268833</v>
      </c>
      <c r="Q173" s="828">
        <f t="shared" si="143"/>
        <v>0.88280675047746004</v>
      </c>
      <c r="R173" s="828">
        <f t="shared" si="143"/>
        <v>0.90111832128262948</v>
      </c>
      <c r="S173" s="828">
        <f t="shared" si="143"/>
        <v>0.91870101859373599</v>
      </c>
      <c r="T173" s="828">
        <f t="shared" si="143"/>
        <v>0.93569327586480588</v>
      </c>
      <c r="U173" s="828">
        <f t="shared" si="143"/>
        <v>0.95230481098679398</v>
      </c>
      <c r="V173" s="828">
        <f t="shared" si="143"/>
        <v>0.968552755980432</v>
      </c>
      <c r="W173" s="828">
        <f t="shared" si="143"/>
        <v>0.98443546299621543</v>
      </c>
      <c r="X173" s="828">
        <f t="shared" si="143"/>
        <v>1</v>
      </c>
      <c r="Y173" s="828">
        <f t="shared" si="143"/>
        <v>1</v>
      </c>
      <c r="Z173" s="828">
        <f t="shared" si="143"/>
        <v>1</v>
      </c>
      <c r="AA173" s="828">
        <f t="shared" si="143"/>
        <v>1</v>
      </c>
      <c r="AB173" s="828">
        <f t="shared" si="143"/>
        <v>1</v>
      </c>
      <c r="AC173" s="828">
        <f t="shared" si="143"/>
        <v>1</v>
      </c>
      <c r="AD173" s="828">
        <f t="shared" si="143"/>
        <v>1</v>
      </c>
      <c r="AE173" s="828">
        <f t="shared" si="143"/>
        <v>1</v>
      </c>
      <c r="AF173" s="828">
        <f t="shared" si="143"/>
        <v>1</v>
      </c>
      <c r="AG173" s="828">
        <f t="shared" si="143"/>
        <v>1</v>
      </c>
      <c r="AH173" s="828">
        <f t="shared" si="143"/>
        <v>1</v>
      </c>
      <c r="AI173" s="828">
        <f t="shared" si="143"/>
        <v>1</v>
      </c>
      <c r="AJ173" s="828">
        <f t="shared" si="143"/>
        <v>1</v>
      </c>
      <c r="AK173" s="828">
        <f t="shared" si="143"/>
        <v>1</v>
      </c>
      <c r="AL173" s="828">
        <f t="shared" si="143"/>
        <v>1</v>
      </c>
      <c r="AM173" s="828">
        <f t="shared" si="143"/>
        <v>1</v>
      </c>
      <c r="AN173" s="828">
        <f t="shared" si="143"/>
        <v>1</v>
      </c>
      <c r="AO173" s="828">
        <f t="shared" si="143"/>
        <v>1</v>
      </c>
      <c r="AP173" s="828">
        <f t="shared" si="143"/>
        <v>1</v>
      </c>
      <c r="AQ173" s="828">
        <f t="shared" si="143"/>
        <v>1</v>
      </c>
      <c r="AR173" s="828">
        <f t="shared" si="143"/>
        <v>1</v>
      </c>
      <c r="AS173" s="828">
        <f t="shared" si="143"/>
        <v>1</v>
      </c>
      <c r="AT173" s="828">
        <f t="shared" si="143"/>
        <v>1</v>
      </c>
      <c r="AU173" s="828">
        <f t="shared" si="143"/>
        <v>1</v>
      </c>
      <c r="AV173" s="828">
        <f t="shared" si="143"/>
        <v>1</v>
      </c>
      <c r="AW173" s="828">
        <f t="shared" si="143"/>
        <v>1</v>
      </c>
      <c r="AX173" s="828">
        <f t="shared" si="143"/>
        <v>1</v>
      </c>
      <c r="AY173" s="828">
        <f t="shared" si="143"/>
        <v>1</v>
      </c>
      <c r="AZ173" s="828">
        <f t="shared" si="143"/>
        <v>1</v>
      </c>
      <c r="BA173" s="828">
        <f t="shared" si="143"/>
        <v>1</v>
      </c>
      <c r="BB173" s="828">
        <f t="shared" si="143"/>
        <v>1</v>
      </c>
      <c r="BC173" s="828">
        <f t="shared" si="143"/>
        <v>1</v>
      </c>
      <c r="BD173" s="828">
        <f t="shared" si="143"/>
        <v>1</v>
      </c>
      <c r="BE173" s="828">
        <f t="shared" si="143"/>
        <v>1</v>
      </c>
      <c r="BF173" s="828">
        <f t="shared" si="143"/>
        <v>1</v>
      </c>
      <c r="BG173" s="828">
        <f t="shared" si="143"/>
        <v>1</v>
      </c>
      <c r="BH173" s="828">
        <f t="shared" si="143"/>
        <v>1</v>
      </c>
      <c r="BI173" s="828">
        <f t="shared" si="143"/>
        <v>1</v>
      </c>
      <c r="BJ173" s="828">
        <f t="shared" si="143"/>
        <v>1</v>
      </c>
      <c r="BK173" s="828">
        <f t="shared" si="143"/>
        <v>1</v>
      </c>
      <c r="BL173" s="828">
        <f t="shared" si="143"/>
        <v>1</v>
      </c>
      <c r="BM173" s="828">
        <f t="shared" si="143"/>
        <v>1</v>
      </c>
      <c r="BN173" s="828">
        <f t="shared" si="143"/>
        <v>1</v>
      </c>
      <c r="BO173" s="828">
        <f t="shared" si="143"/>
        <v>1</v>
      </c>
      <c r="BP173" s="828">
        <f t="shared" si="143"/>
        <v>1</v>
      </c>
      <c r="BQ173" s="828">
        <f t="shared" si="143"/>
        <v>1</v>
      </c>
      <c r="BR173" s="828">
        <f t="shared" si="143"/>
        <v>1</v>
      </c>
      <c r="BS173" s="828">
        <f t="shared" si="143"/>
        <v>1</v>
      </c>
      <c r="BT173" s="828">
        <f t="shared" ref="BT173:CI173" si="144">BT156/(BT156+BT164)</f>
        <v>1</v>
      </c>
      <c r="BU173" s="828">
        <f t="shared" si="144"/>
        <v>1</v>
      </c>
      <c r="BV173" s="828">
        <f t="shared" si="144"/>
        <v>1</v>
      </c>
      <c r="BW173" s="828">
        <f t="shared" si="144"/>
        <v>1</v>
      </c>
      <c r="BX173" s="828">
        <f t="shared" si="144"/>
        <v>1</v>
      </c>
      <c r="BY173" s="828">
        <f t="shared" si="144"/>
        <v>1</v>
      </c>
      <c r="BZ173" s="828">
        <f t="shared" si="144"/>
        <v>1</v>
      </c>
      <c r="CA173" s="828">
        <f t="shared" si="144"/>
        <v>1</v>
      </c>
      <c r="CB173" s="828">
        <f t="shared" si="144"/>
        <v>1</v>
      </c>
      <c r="CC173" s="828">
        <f t="shared" si="144"/>
        <v>1</v>
      </c>
      <c r="CD173" s="828">
        <f t="shared" si="144"/>
        <v>1</v>
      </c>
      <c r="CE173" s="828">
        <f t="shared" si="144"/>
        <v>1</v>
      </c>
      <c r="CF173" s="828">
        <f t="shared" si="144"/>
        <v>1</v>
      </c>
      <c r="CG173" s="828">
        <f t="shared" si="144"/>
        <v>1</v>
      </c>
      <c r="CH173" s="828">
        <f t="shared" si="144"/>
        <v>1</v>
      </c>
      <c r="CI173" s="829">
        <f t="shared" si="144"/>
        <v>1</v>
      </c>
      <c r="CJ173" s="1478"/>
      <c r="CK173" s="1478"/>
      <c r="CL173" s="1478"/>
      <c r="CM173" s="1478"/>
      <c r="CN173" s="1478"/>
      <c r="CO173" s="1478"/>
      <c r="CP173" s="1478"/>
      <c r="CQ173" s="1478"/>
      <c r="CR173" s="1478"/>
      <c r="CS173" s="1478"/>
    </row>
    <row r="174" spans="1:97" ht="28" x14ac:dyDescent="0.35">
      <c r="B174" s="864" t="s">
        <v>617</v>
      </c>
      <c r="C174" s="865" t="s">
        <v>452</v>
      </c>
      <c r="D174" s="866" t="s">
        <v>618</v>
      </c>
      <c r="E174" s="867" t="s">
        <v>359</v>
      </c>
      <c r="F174" s="868">
        <v>1</v>
      </c>
      <c r="G174" s="869">
        <f>(G156)/(G156+G165+G164+G163)</f>
        <v>0.72626103610629478</v>
      </c>
      <c r="H174" s="869">
        <f t="shared" ref="H174:BS174" si="145">(H156)/(H156+H165+H164+H163)</f>
        <v>0.72993445828742831</v>
      </c>
      <c r="I174" s="869">
        <f t="shared" si="145"/>
        <v>0.73291094776671395</v>
      </c>
      <c r="J174" s="869">
        <f t="shared" si="145"/>
        <v>0.74402614907834641</v>
      </c>
      <c r="K174" s="869">
        <f t="shared" si="145"/>
        <v>0.75401469494896367</v>
      </c>
      <c r="L174" s="869">
        <f t="shared" si="145"/>
        <v>0.76358734248049143</v>
      </c>
      <c r="M174" s="869">
        <f t="shared" si="145"/>
        <v>0.78594301473519468</v>
      </c>
      <c r="N174" s="869">
        <f t="shared" si="145"/>
        <v>0.80673565442974537</v>
      </c>
      <c r="O174" s="869">
        <f t="shared" si="145"/>
        <v>0.82738768063624635</v>
      </c>
      <c r="P174" s="869">
        <f t="shared" si="145"/>
        <v>0.84718291193848738</v>
      </c>
      <c r="Q174" s="869">
        <f t="shared" si="145"/>
        <v>0.866051513550396</v>
      </c>
      <c r="R174" s="869">
        <f t="shared" si="145"/>
        <v>0.88427779757125125</v>
      </c>
      <c r="S174" s="869">
        <f t="shared" si="145"/>
        <v>0.90175736400285067</v>
      </c>
      <c r="T174" s="869">
        <f t="shared" si="145"/>
        <v>0.9186270335011284</v>
      </c>
      <c r="U174" s="869">
        <f t="shared" si="145"/>
        <v>0.93512473206179303</v>
      </c>
      <c r="V174" s="869">
        <f t="shared" si="145"/>
        <v>0.95126821414060414</v>
      </c>
      <c r="W174" s="869">
        <f t="shared" si="145"/>
        <v>0.96704208745478748</v>
      </c>
      <c r="X174" s="869">
        <f t="shared" si="145"/>
        <v>0.98229438230782939</v>
      </c>
      <c r="Y174" s="869">
        <f t="shared" si="145"/>
        <v>0.98251386484879433</v>
      </c>
      <c r="Z174" s="869">
        <f t="shared" si="145"/>
        <v>0.98272650126988714</v>
      </c>
      <c r="AA174" s="869">
        <f t="shared" si="145"/>
        <v>0.98293284268946235</v>
      </c>
      <c r="AB174" s="869">
        <f t="shared" si="145"/>
        <v>0.98313491823924293</v>
      </c>
      <c r="AC174" s="869">
        <f t="shared" si="145"/>
        <v>0.9833264951190579</v>
      </c>
      <c r="AD174" s="869">
        <f t="shared" si="145"/>
        <v>0.98350824686326677</v>
      </c>
      <c r="AE174" s="869">
        <f t="shared" si="145"/>
        <v>0.98368096912412206</v>
      </c>
      <c r="AF174" s="869">
        <f t="shared" si="145"/>
        <v>0.9838447805768008</v>
      </c>
      <c r="AG174" s="869">
        <f t="shared" si="145"/>
        <v>0.98400047553575243</v>
      </c>
      <c r="AH174" s="869">
        <f t="shared" si="145"/>
        <v>0.98414802768263099</v>
      </c>
      <c r="AI174" s="869">
        <f t="shared" si="145"/>
        <v>0.98428815928388214</v>
      </c>
      <c r="AJ174" s="869">
        <f t="shared" si="145"/>
        <v>0.98442103831995109</v>
      </c>
      <c r="AK174" s="869">
        <f t="shared" si="145"/>
        <v>0.98454697886085196</v>
      </c>
      <c r="AL174" s="869">
        <f t="shared" si="145"/>
        <v>0.98462490565852923</v>
      </c>
      <c r="AM174" s="869">
        <f t="shared" si="145"/>
        <v>0.98469887373847431</v>
      </c>
      <c r="AN174" s="869">
        <f t="shared" si="145"/>
        <v>0.98477080166039954</v>
      </c>
      <c r="AO174" s="869">
        <f t="shared" si="145"/>
        <v>0.98484028704620064</v>
      </c>
      <c r="AP174" s="869">
        <f t="shared" si="145"/>
        <v>0.98490909944179983</v>
      </c>
      <c r="AQ174" s="869">
        <f t="shared" si="145"/>
        <v>0.98497787969244888</v>
      </c>
      <c r="AR174" s="869">
        <f t="shared" si="145"/>
        <v>0.98504443953644027</v>
      </c>
      <c r="AS174" s="869">
        <f t="shared" si="145"/>
        <v>0.98510613094146016</v>
      </c>
      <c r="AT174" s="869">
        <f t="shared" si="145"/>
        <v>0.9851643444361059</v>
      </c>
      <c r="AU174" s="869">
        <f t="shared" si="145"/>
        <v>0.98522154277699781</v>
      </c>
      <c r="AV174" s="869">
        <f t="shared" si="145"/>
        <v>0.98527679896298037</v>
      </c>
      <c r="AW174" s="869">
        <f t="shared" si="145"/>
        <v>0.98533001634333528</v>
      </c>
      <c r="AX174" s="869">
        <f t="shared" si="145"/>
        <v>0.98538255798223673</v>
      </c>
      <c r="AY174" s="869">
        <f t="shared" si="145"/>
        <v>0.98543502797609828</v>
      </c>
      <c r="AZ174" s="869">
        <f t="shared" si="145"/>
        <v>0.98548779905431172</v>
      </c>
      <c r="BA174" s="869">
        <f t="shared" si="145"/>
        <v>0.98554080479138095</v>
      </c>
      <c r="BB174" s="869">
        <f t="shared" si="145"/>
        <v>0.98559291338432353</v>
      </c>
      <c r="BC174" s="869">
        <f t="shared" si="145"/>
        <v>0.98564365688085653</v>
      </c>
      <c r="BD174" s="869">
        <f t="shared" si="145"/>
        <v>0.98569419384892498</v>
      </c>
      <c r="BE174" s="869">
        <f t="shared" si="145"/>
        <v>0.98574439781528611</v>
      </c>
      <c r="BF174" s="869">
        <f t="shared" si="145"/>
        <v>0.98579442266879624</v>
      </c>
      <c r="BG174" s="869">
        <f t="shared" si="145"/>
        <v>0.98584448722747819</v>
      </c>
      <c r="BH174" s="869">
        <f t="shared" si="145"/>
        <v>0.98589473615521728</v>
      </c>
      <c r="BI174" s="869">
        <f t="shared" si="145"/>
        <v>0.98594483335944283</v>
      </c>
      <c r="BJ174" s="869">
        <f t="shared" si="145"/>
        <v>0.98599417983465998</v>
      </c>
      <c r="BK174" s="869">
        <f t="shared" si="145"/>
        <v>0.9860435367823327</v>
      </c>
      <c r="BL174" s="869">
        <f t="shared" si="145"/>
        <v>0.98609204149964802</v>
      </c>
      <c r="BM174" s="869">
        <f t="shared" si="145"/>
        <v>0.98614024799201272</v>
      </c>
      <c r="BN174" s="869">
        <f t="shared" si="145"/>
        <v>0.98618915935970231</v>
      </c>
      <c r="BO174" s="869">
        <f t="shared" si="145"/>
        <v>0.98623837483482679</v>
      </c>
      <c r="BP174" s="869">
        <f t="shared" si="145"/>
        <v>0.98628906905074842</v>
      </c>
      <c r="BQ174" s="869">
        <f t="shared" si="145"/>
        <v>0.98634063546626405</v>
      </c>
      <c r="BR174" s="869">
        <f t="shared" si="145"/>
        <v>0.98639299719875495</v>
      </c>
      <c r="BS174" s="869">
        <f t="shared" si="145"/>
        <v>0.98644511938990587</v>
      </c>
      <c r="BT174" s="869">
        <f t="shared" ref="BT174:CI174" si="146">(BT156)/(BT156+BT165+BT164+BT163)</f>
        <v>0.98649745537730527</v>
      </c>
      <c r="BU174" s="869">
        <f t="shared" si="146"/>
        <v>0.98655019368657881</v>
      </c>
      <c r="BV174" s="869">
        <f t="shared" si="146"/>
        <v>0.98660339195027291</v>
      </c>
      <c r="BW174" s="869">
        <f t="shared" si="146"/>
        <v>0.98665623492532695</v>
      </c>
      <c r="BX174" s="869">
        <f t="shared" si="146"/>
        <v>0.98670928856056739</v>
      </c>
      <c r="BY174" s="869">
        <f t="shared" si="146"/>
        <v>0.98676267350491664</v>
      </c>
      <c r="BZ174" s="869">
        <f t="shared" si="146"/>
        <v>0.98681693273525706</v>
      </c>
      <c r="CA174" s="869">
        <f t="shared" si="146"/>
        <v>0.98687108203650342</v>
      </c>
      <c r="CB174" s="869">
        <f t="shared" si="146"/>
        <v>0.98692512518210096</v>
      </c>
      <c r="CC174" s="869">
        <f t="shared" si="146"/>
        <v>0.98697799358417959</v>
      </c>
      <c r="CD174" s="869">
        <f t="shared" si="146"/>
        <v>0.98703077811658113</v>
      </c>
      <c r="CE174" s="869">
        <f t="shared" si="146"/>
        <v>0.9870831293649962</v>
      </c>
      <c r="CF174" s="869">
        <f t="shared" si="146"/>
        <v>0.98713482434293809</v>
      </c>
      <c r="CG174" s="869">
        <f t="shared" si="146"/>
        <v>0.98718500941368648</v>
      </c>
      <c r="CH174" s="869">
        <f t="shared" si="146"/>
        <v>0.98723400417477936</v>
      </c>
      <c r="CI174" s="869">
        <f t="shared" si="146"/>
        <v>0.9872818908070411</v>
      </c>
      <c r="CJ174" s="1478"/>
      <c r="CK174" s="1478"/>
      <c r="CL174" s="1478"/>
      <c r="CM174" s="1478"/>
      <c r="CN174" s="1478"/>
      <c r="CO174" s="1478"/>
      <c r="CP174" s="1478"/>
      <c r="CQ174" s="1478"/>
      <c r="CR174" s="1478"/>
      <c r="CS174" s="1478"/>
    </row>
    <row r="175" spans="1:97" ht="28" x14ac:dyDescent="0.35">
      <c r="B175" s="870" t="s">
        <v>619</v>
      </c>
      <c r="C175" s="871" t="s">
        <v>455</v>
      </c>
      <c r="D175" s="871" t="s">
        <v>620</v>
      </c>
      <c r="E175" s="871" t="s">
        <v>305</v>
      </c>
      <c r="F175" s="872">
        <v>2</v>
      </c>
      <c r="G175" s="702">
        <f>SUM(G135:G137)+G133+G144+G149+G150+G143</f>
        <v>87.984627709999998</v>
      </c>
      <c r="H175" s="702">
        <f t="shared" ref="H175:BS175" si="147">SUM(H135:H137)+H133+H144+H149+H150+H143</f>
        <v>85.58818740000001</v>
      </c>
      <c r="I175" s="702">
        <f t="shared" si="147"/>
        <v>85.279863060000011</v>
      </c>
      <c r="J175" s="702">
        <f t="shared" si="147"/>
        <v>85.199520669999998</v>
      </c>
      <c r="K175" s="702">
        <f t="shared" si="147"/>
        <v>85.310098790000012</v>
      </c>
      <c r="L175" s="702">
        <f t="shared" si="147"/>
        <v>86.76977706000001</v>
      </c>
      <c r="M175" s="702">
        <f>SUM(M135:M137)+M133+M144+M149+M150+M143</f>
        <v>86.782121169999996</v>
      </c>
      <c r="N175" s="702">
        <f t="shared" si="147"/>
        <v>86.959262250000023</v>
      </c>
      <c r="O175" s="702">
        <f t="shared" si="147"/>
        <v>87.11162745</v>
      </c>
      <c r="P175" s="702">
        <f t="shared" si="147"/>
        <v>87.119526390000019</v>
      </c>
      <c r="Q175" s="702">
        <f t="shared" si="147"/>
        <v>86.840035167068322</v>
      </c>
      <c r="R175" s="702">
        <f t="shared" si="147"/>
        <v>86.738839798117695</v>
      </c>
      <c r="S175" s="702">
        <f t="shared" si="147"/>
        <v>86.477006879423129</v>
      </c>
      <c r="T175" s="702">
        <f t="shared" si="147"/>
        <v>86.188484274113037</v>
      </c>
      <c r="U175" s="702">
        <f t="shared" si="147"/>
        <v>85.957063520448173</v>
      </c>
      <c r="V175" s="702">
        <f t="shared" si="147"/>
        <v>85.617811296701532</v>
      </c>
      <c r="W175" s="702">
        <f t="shared" si="147"/>
        <v>85.623840108253049</v>
      </c>
      <c r="X175" s="702">
        <f t="shared" si="147"/>
        <v>85.607769844462197</v>
      </c>
      <c r="Y175" s="702">
        <f t="shared" si="147"/>
        <v>85.581824229039228</v>
      </c>
      <c r="Z175" s="702">
        <f t="shared" si="147"/>
        <v>85.491720471667236</v>
      </c>
      <c r="AA175" s="702">
        <f t="shared" si="147"/>
        <v>85.048764959295411</v>
      </c>
      <c r="AB175" s="702">
        <f t="shared" si="147"/>
        <v>84.951295748323375</v>
      </c>
      <c r="AC175" s="702">
        <f t="shared" si="147"/>
        <v>84.84071023177917</v>
      </c>
      <c r="AD175" s="702">
        <f t="shared" si="147"/>
        <v>84.72114237886673</v>
      </c>
      <c r="AE175" s="702">
        <f t="shared" si="147"/>
        <v>84.583693089314835</v>
      </c>
      <c r="AF175" s="702">
        <f t="shared" si="147"/>
        <v>84.423935363940757</v>
      </c>
      <c r="AG175" s="702">
        <f t="shared" si="147"/>
        <v>84.507341207718156</v>
      </c>
      <c r="AH175" s="702">
        <f t="shared" si="147"/>
        <v>84.583130574545606</v>
      </c>
      <c r="AI175" s="702">
        <f t="shared" si="147"/>
        <v>84.646888734138656</v>
      </c>
      <c r="AJ175" s="702">
        <f t="shared" si="147"/>
        <v>84.69452969117026</v>
      </c>
      <c r="AK175" s="702">
        <f t="shared" si="147"/>
        <v>84.675554589878075</v>
      </c>
      <c r="AL175" s="702">
        <f t="shared" si="147"/>
        <v>84.676327788891683</v>
      </c>
      <c r="AM175" s="702">
        <f t="shared" si="147"/>
        <v>84.676548651814713</v>
      </c>
      <c r="AN175" s="702">
        <f t="shared" si="147"/>
        <v>84.674029886069519</v>
      </c>
      <c r="AO175" s="702">
        <f t="shared" si="147"/>
        <v>84.782590203293154</v>
      </c>
      <c r="AP175" s="702">
        <f t="shared" si="147"/>
        <v>84.891403449475462</v>
      </c>
      <c r="AQ175" s="702">
        <f t="shared" si="147"/>
        <v>85.000548461527046</v>
      </c>
      <c r="AR175" s="702">
        <f t="shared" si="147"/>
        <v>85.103821146733466</v>
      </c>
      <c r="AS175" s="702">
        <f t="shared" si="147"/>
        <v>85.20270257268092</v>
      </c>
      <c r="AT175" s="702">
        <f t="shared" si="147"/>
        <v>85.302044734355349</v>
      </c>
      <c r="AU175" s="702">
        <f t="shared" si="147"/>
        <v>85.399068477923095</v>
      </c>
      <c r="AV175" s="702">
        <f t="shared" si="147"/>
        <v>85.4952104565795</v>
      </c>
      <c r="AW175" s="702">
        <f t="shared" si="147"/>
        <v>85.59185848741177</v>
      </c>
      <c r="AX175" s="702">
        <f t="shared" si="147"/>
        <v>85.688690180313969</v>
      </c>
      <c r="AY175" s="702">
        <f t="shared" si="147"/>
        <v>85.787693267874232</v>
      </c>
      <c r="AZ175" s="702">
        <f t="shared" si="147"/>
        <v>85.888979539132322</v>
      </c>
      <c r="BA175" s="702">
        <f t="shared" si="147"/>
        <v>85.992239542781732</v>
      </c>
      <c r="BB175" s="702">
        <f t="shared" si="147"/>
        <v>86.095524891596654</v>
      </c>
      <c r="BC175" s="702">
        <f t="shared" si="147"/>
        <v>86.201362885954524</v>
      </c>
      <c r="BD175" s="702">
        <f t="shared" si="147"/>
        <v>86.308871462857866</v>
      </c>
      <c r="BE175" s="702">
        <f t="shared" si="147"/>
        <v>86.418518510282482</v>
      </c>
      <c r="BF175" s="702">
        <f t="shared" si="147"/>
        <v>86.53231842427742</v>
      </c>
      <c r="BG175" s="702">
        <f t="shared" si="147"/>
        <v>86.649512387592438</v>
      </c>
      <c r="BH175" s="702">
        <f t="shared" si="147"/>
        <v>86.77046867120589</v>
      </c>
      <c r="BI175" s="702">
        <f t="shared" si="147"/>
        <v>86.893625672225085</v>
      </c>
      <c r="BJ175" s="702">
        <f t="shared" si="147"/>
        <v>87.01956654798667</v>
      </c>
      <c r="BK175" s="702">
        <f t="shared" si="147"/>
        <v>87.148197869688715</v>
      </c>
      <c r="BL175" s="702">
        <f t="shared" si="147"/>
        <v>87.280287655903209</v>
      </c>
      <c r="BM175" s="702">
        <f t="shared" si="147"/>
        <v>87.41707081119587</v>
      </c>
      <c r="BN175" s="702">
        <f t="shared" si="147"/>
        <v>87.557897655754203</v>
      </c>
      <c r="BO175" s="702">
        <f t="shared" si="147"/>
        <v>87.704069200026922</v>
      </c>
      <c r="BP175" s="702">
        <f t="shared" si="147"/>
        <v>87.854770112072288</v>
      </c>
      <c r="BQ175" s="702">
        <f t="shared" si="147"/>
        <v>88.009972754487038</v>
      </c>
      <c r="BR175" s="702">
        <f t="shared" si="147"/>
        <v>88.167211841659366</v>
      </c>
      <c r="BS175" s="702">
        <f t="shared" si="147"/>
        <v>88.327382889040223</v>
      </c>
      <c r="BT175" s="702">
        <f t="shared" ref="BT175:CI175" si="148">SUM(BT135:BT137)+BT133+BT144+BT149+BT150+BT143</f>
        <v>88.49008340973009</v>
      </c>
      <c r="BU175" s="702">
        <f t="shared" si="148"/>
        <v>88.656081381794934</v>
      </c>
      <c r="BV175" s="702">
        <f t="shared" si="148"/>
        <v>88.822693117991946</v>
      </c>
      <c r="BW175" s="702">
        <f t="shared" si="148"/>
        <v>88.991205493110641</v>
      </c>
      <c r="BX175" s="702">
        <f t="shared" si="148"/>
        <v>89.161405466296955</v>
      </c>
      <c r="BY175" s="702">
        <f t="shared" si="148"/>
        <v>89.333799394406498</v>
      </c>
      <c r="BZ175" s="702">
        <f t="shared" si="148"/>
        <v>89.50714433408541</v>
      </c>
      <c r="CA175" s="702">
        <f t="shared" si="148"/>
        <v>89.681584505571834</v>
      </c>
      <c r="CB175" s="702">
        <f t="shared" si="148"/>
        <v>89.855201472954221</v>
      </c>
      <c r="CC175" s="702">
        <f t="shared" si="148"/>
        <v>90.02943874954795</v>
      </c>
      <c r="CD175" s="702">
        <f t="shared" si="148"/>
        <v>90.202894397509169</v>
      </c>
      <c r="CE175" s="702">
        <f t="shared" si="148"/>
        <v>90.375642713930006</v>
      </c>
      <c r="CF175" s="702">
        <f t="shared" si="148"/>
        <v>90.546740439217288</v>
      </c>
      <c r="CG175" s="702">
        <f t="shared" si="148"/>
        <v>90.71661744189511</v>
      </c>
      <c r="CH175" s="702">
        <f t="shared" si="148"/>
        <v>90.807578607980986</v>
      </c>
      <c r="CI175" s="702">
        <f t="shared" si="148"/>
        <v>94.961539817000016</v>
      </c>
      <c r="CJ175" s="1478"/>
      <c r="CK175" s="1478"/>
      <c r="CL175" s="1478"/>
      <c r="CM175" s="1478"/>
      <c r="CN175" s="1478"/>
      <c r="CO175" s="1478"/>
      <c r="CP175" s="1478"/>
      <c r="CQ175" s="1478"/>
      <c r="CR175" s="1478"/>
      <c r="CS175" s="1478"/>
    </row>
    <row r="176" spans="1:97" ht="28" x14ac:dyDescent="0.35">
      <c r="B176" s="873" t="s">
        <v>457</v>
      </c>
      <c r="C176" s="874" t="s">
        <v>458</v>
      </c>
      <c r="D176" s="792" t="s">
        <v>82</v>
      </c>
      <c r="E176" s="874" t="s">
        <v>305</v>
      </c>
      <c r="F176" s="875">
        <v>2</v>
      </c>
      <c r="G176" s="706"/>
      <c r="H176" s="706"/>
      <c r="I176" s="706">
        <v>1.0098723791067831E-2</v>
      </c>
      <c r="J176" s="706">
        <v>1.5197480281696416E-2</v>
      </c>
      <c r="K176" s="706">
        <v>1.8357581218965191E-2</v>
      </c>
      <c r="L176" s="706">
        <v>2.2390887669897202E-2</v>
      </c>
      <c r="M176" s="707">
        <v>2.8660284796768794E-2</v>
      </c>
      <c r="N176" s="707">
        <v>3.0651482062883692E-2</v>
      </c>
      <c r="O176" s="707">
        <v>3.6472316100500703E-2</v>
      </c>
      <c r="P176" s="707">
        <v>4.0925441110621463E-2</v>
      </c>
      <c r="Q176" s="707">
        <v>2.8588580023624487E-2</v>
      </c>
      <c r="R176" s="707">
        <v>3.1046728128854596E-2</v>
      </c>
      <c r="S176" s="707">
        <v>3.4664792886585111E-2</v>
      </c>
      <c r="T176" s="707">
        <v>3.7596264429767046E-2</v>
      </c>
      <c r="U176" s="707">
        <v>4.2153891770570093E-2</v>
      </c>
      <c r="V176" s="707">
        <v>2.2654402287631388E-2</v>
      </c>
      <c r="W176" s="707">
        <v>2.3199701046453594E-2</v>
      </c>
      <c r="X176" s="707">
        <v>2.6902140501692637E-2</v>
      </c>
      <c r="Y176" s="707">
        <v>2.8631681915913323E-2</v>
      </c>
      <c r="Z176" s="707">
        <v>3.1950339660813384E-2</v>
      </c>
      <c r="AA176" s="707">
        <v>3.2142193026580633E-2</v>
      </c>
      <c r="AB176" s="707">
        <v>3.1442256617404282E-2</v>
      </c>
      <c r="AC176" s="707">
        <v>3.4249916040554329E-2</v>
      </c>
      <c r="AD176" s="707">
        <v>3.8713831260321303E-2</v>
      </c>
      <c r="AE176" s="707">
        <v>3.7563273420069543E-2</v>
      </c>
      <c r="AF176" s="707">
        <v>3.9871493593556073E-2</v>
      </c>
      <c r="AG176" s="707">
        <v>4.4836374445151567E-2</v>
      </c>
      <c r="AH176" s="707">
        <v>4.3174882418258981E-2</v>
      </c>
      <c r="AI176" s="707">
        <v>4.6218010354299843E-2</v>
      </c>
      <c r="AJ176" s="707">
        <v>4.6498139351256455E-2</v>
      </c>
      <c r="AK176" s="707">
        <v>4.7713040634896668E-2</v>
      </c>
      <c r="AL176" s="707">
        <v>5.01701387354705E-2</v>
      </c>
      <c r="AM176" s="707">
        <v>5.0429174993867357E-2</v>
      </c>
      <c r="AN176" s="707">
        <v>5.6227197856854913E-2</v>
      </c>
      <c r="AO176" s="707">
        <v>5.5064875354079307E-2</v>
      </c>
      <c r="AP176" s="707">
        <v>5.4908553827693857E-2</v>
      </c>
      <c r="AQ176" s="707">
        <v>5.7212819953254779E-2</v>
      </c>
      <c r="AR176" s="707">
        <v>5.3974272084321977E-2</v>
      </c>
      <c r="AS176" s="707">
        <v>5.5861660967742491E-2</v>
      </c>
      <c r="AT176" s="707">
        <v>5.5438856739087064E-2</v>
      </c>
      <c r="AU176" s="707">
        <v>5.2307833711372383E-2</v>
      </c>
      <c r="AV176" s="707">
        <v>5.3296825880905327E-2</v>
      </c>
      <c r="AW176" s="707">
        <v>5.0057192919863831E-2</v>
      </c>
      <c r="AX176" s="707">
        <v>5.8481801232591196E-2</v>
      </c>
      <c r="AY176" s="707">
        <v>5.4634464935357133E-2</v>
      </c>
      <c r="AZ176" s="707">
        <v>5.6089775885551266E-2</v>
      </c>
      <c r="BA176" s="707">
        <v>5.5043045023898354E-2</v>
      </c>
      <c r="BB176" s="707">
        <v>5.4916603742700687E-2</v>
      </c>
      <c r="BC176" s="707">
        <v>5.2959729611803688E-2</v>
      </c>
      <c r="BD176" s="707">
        <v>4.7491216060424883E-2</v>
      </c>
      <c r="BE176" s="707">
        <v>5.1851297831964918E-2</v>
      </c>
      <c r="BF176" s="707">
        <v>5.0714462171634112E-2</v>
      </c>
      <c r="BG176" s="707">
        <v>4.4092450454512419E-2</v>
      </c>
      <c r="BH176" s="707">
        <v>3.8641488948764631E-2</v>
      </c>
      <c r="BI176" s="707">
        <v>3.4874917495366899E-2</v>
      </c>
      <c r="BJ176" s="707">
        <v>6.356014330877445E-2</v>
      </c>
      <c r="BK176" s="707">
        <v>4.5197333152872263E-2</v>
      </c>
      <c r="BL176" s="707">
        <v>4.4947398556642204E-2</v>
      </c>
      <c r="BM176" s="707">
        <v>3.9920790490719948E-2</v>
      </c>
      <c r="BN176" s="707">
        <v>5.2817380247511481E-2</v>
      </c>
      <c r="BO176" s="707">
        <v>4.4452531236180787E-2</v>
      </c>
      <c r="BP176" s="707">
        <v>3.0627037301053678E-2</v>
      </c>
      <c r="BQ176" s="707">
        <v>3.7236588959881266E-2</v>
      </c>
      <c r="BR176" s="707">
        <v>4.0377755352141095E-2</v>
      </c>
      <c r="BS176" s="707">
        <v>4.8819857265500949E-2</v>
      </c>
      <c r="BT176" s="707">
        <v>3.3543195523116381E-2</v>
      </c>
      <c r="BU176" s="707">
        <v>3.5725864845245585E-2</v>
      </c>
      <c r="BV176" s="707">
        <v>2.070198655217248E-2</v>
      </c>
      <c r="BW176" s="707">
        <v>2.8658765979129169E-2</v>
      </c>
      <c r="BX176" s="707">
        <v>3.0798155437138253E-2</v>
      </c>
      <c r="BY176" s="707">
        <v>3.6842987618845024E-2</v>
      </c>
      <c r="BZ176" s="707">
        <v>4.5486618731637583E-2</v>
      </c>
      <c r="CA176" s="707">
        <v>3.4479566072420947E-2</v>
      </c>
      <c r="CB176" s="707">
        <v>2.4831096092764723E-2</v>
      </c>
      <c r="CC176" s="707">
        <v>3.3716233121281788E-2</v>
      </c>
      <c r="CD176" s="707">
        <v>2.0023702277736762E-2</v>
      </c>
      <c r="CE176" s="707">
        <v>2.2230393234219312E-2</v>
      </c>
      <c r="CF176" s="707">
        <v>1.1101892767330481E-2</v>
      </c>
      <c r="CG176" s="707">
        <v>2.1497687614943001E-2</v>
      </c>
      <c r="CH176" s="707">
        <v>2.1029285450550383E-2</v>
      </c>
      <c r="CI176" s="708">
        <v>1.7137238820704219E-2</v>
      </c>
      <c r="CJ176" s="1478">
        <v>0.33500073237974043</v>
      </c>
      <c r="CK176" s="1478"/>
      <c r="CL176" s="1478"/>
      <c r="CM176" s="1478"/>
      <c r="CN176" s="1478"/>
      <c r="CO176" s="1478"/>
      <c r="CP176" s="1478"/>
      <c r="CQ176" s="1478"/>
      <c r="CR176" s="1478"/>
      <c r="CS176" s="1478"/>
    </row>
    <row r="177" spans="2:97" x14ac:dyDescent="0.35">
      <c r="B177" s="876" t="s">
        <v>459</v>
      </c>
      <c r="C177" s="877" t="s">
        <v>460</v>
      </c>
      <c r="D177" s="799" t="s">
        <v>82</v>
      </c>
      <c r="E177" s="877" t="s">
        <v>305</v>
      </c>
      <c r="F177" s="878">
        <v>2</v>
      </c>
      <c r="G177" s="706"/>
      <c r="H177" s="706"/>
      <c r="I177" s="712">
        <v>2.9656609864500525</v>
      </c>
      <c r="J177" s="712">
        <v>3.3424980351637936</v>
      </c>
      <c r="K177" s="712">
        <v>2.8390503220749146</v>
      </c>
      <c r="L177" s="712">
        <v>3.0145653543104629</v>
      </c>
      <c r="M177" s="713">
        <v>3.2297491150735711</v>
      </c>
      <c r="N177" s="713">
        <v>3.0900615852272963</v>
      </c>
      <c r="O177" s="713">
        <v>3.3510413141600295</v>
      </c>
      <c r="P177" s="713">
        <v>3.2647073715252684</v>
      </c>
      <c r="Q177" s="713">
        <v>2.1878443457885659</v>
      </c>
      <c r="R177" s="713">
        <v>2.1858124979143456</v>
      </c>
      <c r="S177" s="713">
        <v>2.3539102975373249</v>
      </c>
      <c r="T177" s="713">
        <v>2.351305501627913</v>
      </c>
      <c r="U177" s="713">
        <v>2.5384160242976197</v>
      </c>
      <c r="V177" s="713">
        <v>1.2620518889420786</v>
      </c>
      <c r="W177" s="713">
        <v>1.2245033560770364</v>
      </c>
      <c r="X177" s="713">
        <v>1.3330348995360273</v>
      </c>
      <c r="Y177" s="713">
        <v>1.4112077799271165</v>
      </c>
      <c r="Z177" s="713">
        <v>1.4775348181683565</v>
      </c>
      <c r="AA177" s="713">
        <v>1.4272909755762293</v>
      </c>
      <c r="AB177" s="713">
        <v>1.3239522491056559</v>
      </c>
      <c r="AC177" s="713">
        <v>1.4001141480049757</v>
      </c>
      <c r="AD177" s="713">
        <v>1.5270764930659289</v>
      </c>
      <c r="AE177" s="713">
        <v>1.4850143363951804</v>
      </c>
      <c r="AF177" s="713">
        <v>1.507172703073784</v>
      </c>
      <c r="AG177" s="713">
        <v>1.6018585583399783</v>
      </c>
      <c r="AH177" s="713">
        <v>1.5134910568535112</v>
      </c>
      <c r="AI177" s="713">
        <v>1.50601099426351</v>
      </c>
      <c r="AJ177" s="713">
        <v>1.5402846410973035</v>
      </c>
      <c r="AK177" s="713">
        <v>1.5190183444335834</v>
      </c>
      <c r="AL177" s="713">
        <v>1.5733349372027194</v>
      </c>
      <c r="AM177" s="713">
        <v>1.5428940742896826</v>
      </c>
      <c r="AN177" s="713">
        <v>1.6324400002421551</v>
      </c>
      <c r="AO177" s="713">
        <v>1.5532672940263108</v>
      </c>
      <c r="AP177" s="713">
        <v>1.4447603374892262</v>
      </c>
      <c r="AQ177" s="713">
        <v>1.5015705064845952</v>
      </c>
      <c r="AR177" s="713">
        <v>1.4148842973293281</v>
      </c>
      <c r="AS177" s="713">
        <v>1.3931514437100676</v>
      </c>
      <c r="AT177" s="713">
        <v>1.3127404700378029</v>
      </c>
      <c r="AU177" s="713">
        <v>1.2354801975789775</v>
      </c>
      <c r="AV177" s="713">
        <v>1.2569964651039949</v>
      </c>
      <c r="AW177" s="713">
        <v>1.0834909466864662</v>
      </c>
      <c r="AX177" s="713">
        <v>1.2523165769067588</v>
      </c>
      <c r="AY177" s="713">
        <v>1.1898696100967827</v>
      </c>
      <c r="AZ177" s="713">
        <v>1.1524848509784889</v>
      </c>
      <c r="BA177" s="713">
        <v>1.1151960732763218</v>
      </c>
      <c r="BB177" s="713">
        <v>1.0349880106796192</v>
      </c>
      <c r="BC177" s="713">
        <v>0.99182634183702623</v>
      </c>
      <c r="BD177" s="713">
        <v>0.86600657933038216</v>
      </c>
      <c r="BE177" s="713">
        <v>0.99275750893090509</v>
      </c>
      <c r="BF177" s="713">
        <v>0.88508311989494493</v>
      </c>
      <c r="BG177" s="713">
        <v>0.75809217805799467</v>
      </c>
      <c r="BH177" s="713">
        <v>0.63404692543684538</v>
      </c>
      <c r="BI177" s="713">
        <v>0.56656273922179012</v>
      </c>
      <c r="BJ177" s="713">
        <v>1.0758292797152555</v>
      </c>
      <c r="BK177" s="713">
        <v>0.75425977482120576</v>
      </c>
      <c r="BL177" s="713">
        <v>0.71747376975070376</v>
      </c>
      <c r="BM177" s="713">
        <v>0.63037597365757703</v>
      </c>
      <c r="BN177" s="713">
        <v>0.80077274271992449</v>
      </c>
      <c r="BO177" s="713">
        <v>0.65864805488107825</v>
      </c>
      <c r="BP177" s="713">
        <v>0.45934861853830233</v>
      </c>
      <c r="BQ177" s="713">
        <v>0.53521991398250379</v>
      </c>
      <c r="BR177" s="713">
        <v>0.57216495124618694</v>
      </c>
      <c r="BS177" s="713">
        <v>0.68408360483941999</v>
      </c>
      <c r="BT177" s="713">
        <v>0.47080489995071462</v>
      </c>
      <c r="BU177" s="713">
        <v>0.48146594606194842</v>
      </c>
      <c r="BV177" s="713">
        <v>0.26189653992026751</v>
      </c>
      <c r="BW177" s="713">
        <v>0.3729623579241288</v>
      </c>
      <c r="BX177" s="713">
        <v>0.39593517338400075</v>
      </c>
      <c r="BY177" s="713">
        <v>0.46665008671009695</v>
      </c>
      <c r="BZ177" s="713">
        <v>0.5837579736683064</v>
      </c>
      <c r="CA177" s="713">
        <v>0.43692241826803302</v>
      </c>
      <c r="CB177" s="713">
        <v>0.29484862453247324</v>
      </c>
      <c r="CC177" s="713">
        <v>0.41138902570691721</v>
      </c>
      <c r="CD177" s="713">
        <v>0.23584638111026424</v>
      </c>
      <c r="CE177" s="713">
        <v>0.26069641928118065</v>
      </c>
      <c r="CF177" s="713">
        <v>0.12719145428961953</v>
      </c>
      <c r="CG177" s="713">
        <v>0.25791189551602201</v>
      </c>
      <c r="CH177" s="713">
        <v>0.24458903806529264</v>
      </c>
      <c r="CI177" s="713">
        <v>0.19659134149337978</v>
      </c>
      <c r="CJ177" s="1478">
        <v>1.8153888347013396</v>
      </c>
      <c r="CK177" s="1478"/>
      <c r="CL177" s="1478"/>
      <c r="CM177" s="1478"/>
      <c r="CN177" s="1478"/>
      <c r="CO177" s="1478"/>
      <c r="CP177" s="1478"/>
      <c r="CQ177" s="1478"/>
      <c r="CR177" s="1478"/>
      <c r="CS177" s="1478"/>
    </row>
    <row r="178" spans="2:97" s="1618" customFormat="1" x14ac:dyDescent="0.35">
      <c r="B178" s="876" t="s">
        <v>621</v>
      </c>
      <c r="C178" s="877" t="s">
        <v>462</v>
      </c>
      <c r="D178" s="799" t="s">
        <v>622</v>
      </c>
      <c r="E178" s="877" t="s">
        <v>305</v>
      </c>
      <c r="F178" s="878">
        <v>2</v>
      </c>
      <c r="G178" s="879">
        <f>G176+G177</f>
        <v>0</v>
      </c>
      <c r="H178" s="879">
        <f t="shared" ref="H178:BS178" si="149">H176+H177</f>
        <v>0</v>
      </c>
      <c r="I178" s="879">
        <f t="shared" si="149"/>
        <v>2.9757597102411202</v>
      </c>
      <c r="J178" s="879">
        <f t="shared" si="149"/>
        <v>3.3576955154454899</v>
      </c>
      <c r="K178" s="879">
        <f t="shared" si="149"/>
        <v>2.8574079032938799</v>
      </c>
      <c r="L178" s="879">
        <f t="shared" si="149"/>
        <v>3.0369562419803602</v>
      </c>
      <c r="M178" s="879">
        <f t="shared" si="149"/>
        <v>3.2584093998703398</v>
      </c>
      <c r="N178" s="879">
        <f t="shared" si="149"/>
        <v>3.1207130672901799</v>
      </c>
      <c r="O178" s="879">
        <f t="shared" si="149"/>
        <v>3.3875136302605302</v>
      </c>
      <c r="P178" s="879">
        <f t="shared" si="149"/>
        <v>3.3056328126358898</v>
      </c>
      <c r="Q178" s="879">
        <f t="shared" si="149"/>
        <v>2.2164329258121902</v>
      </c>
      <c r="R178" s="879">
        <f t="shared" si="149"/>
        <v>2.2168592260432001</v>
      </c>
      <c r="S178" s="879">
        <f t="shared" si="149"/>
        <v>2.38857509042391</v>
      </c>
      <c r="T178" s="879">
        <f t="shared" si="149"/>
        <v>2.3889017660576801</v>
      </c>
      <c r="U178" s="879">
        <f t="shared" si="149"/>
        <v>2.5805699160681899</v>
      </c>
      <c r="V178" s="879">
        <f t="shared" si="149"/>
        <v>1.28470629122971</v>
      </c>
      <c r="W178" s="879">
        <f t="shared" si="149"/>
        <v>1.2477030571234899</v>
      </c>
      <c r="X178" s="879">
        <f t="shared" si="149"/>
        <v>1.35993704003772</v>
      </c>
      <c r="Y178" s="879">
        <f t="shared" si="149"/>
        <v>1.4398394618430299</v>
      </c>
      <c r="Z178" s="879">
        <f t="shared" si="149"/>
        <v>1.5094851578291699</v>
      </c>
      <c r="AA178" s="879">
        <f t="shared" si="149"/>
        <v>1.4594331686028099</v>
      </c>
      <c r="AB178" s="879">
        <f t="shared" si="149"/>
        <v>1.3553945057230601</v>
      </c>
      <c r="AC178" s="879">
        <f t="shared" si="149"/>
        <v>1.43436406404553</v>
      </c>
      <c r="AD178" s="879">
        <f t="shared" si="149"/>
        <v>1.5657903243262501</v>
      </c>
      <c r="AE178" s="879">
        <f t="shared" si="149"/>
        <v>1.5225776098152499</v>
      </c>
      <c r="AF178" s="879">
        <f t="shared" si="149"/>
        <v>1.5470441966673401</v>
      </c>
      <c r="AG178" s="879">
        <f t="shared" si="149"/>
        <v>1.6466949327851299</v>
      </c>
      <c r="AH178" s="879">
        <f t="shared" si="149"/>
        <v>1.5566659392717701</v>
      </c>
      <c r="AI178" s="879">
        <f t="shared" si="149"/>
        <v>1.5522290046178098</v>
      </c>
      <c r="AJ178" s="879">
        <f t="shared" si="149"/>
        <v>1.5867827804485599</v>
      </c>
      <c r="AK178" s="879">
        <f t="shared" si="149"/>
        <v>1.5667313850684801</v>
      </c>
      <c r="AL178" s="879">
        <f t="shared" si="149"/>
        <v>1.6235050759381899</v>
      </c>
      <c r="AM178" s="879">
        <f t="shared" si="149"/>
        <v>1.5933232492835501</v>
      </c>
      <c r="AN178" s="879">
        <f t="shared" si="149"/>
        <v>1.68866719809901</v>
      </c>
      <c r="AO178" s="879">
        <f t="shared" si="149"/>
        <v>1.60833216938039</v>
      </c>
      <c r="AP178" s="879">
        <f t="shared" si="149"/>
        <v>1.49966889131692</v>
      </c>
      <c r="AQ178" s="879">
        <f t="shared" si="149"/>
        <v>1.5587833264378501</v>
      </c>
      <c r="AR178" s="879">
        <f t="shared" si="149"/>
        <v>1.46885856941365</v>
      </c>
      <c r="AS178" s="879">
        <f t="shared" si="149"/>
        <v>1.4490131046778101</v>
      </c>
      <c r="AT178" s="879">
        <f t="shared" si="149"/>
        <v>1.36817932677689</v>
      </c>
      <c r="AU178" s="879">
        <f t="shared" si="149"/>
        <v>1.28778803129035</v>
      </c>
      <c r="AV178" s="879">
        <f t="shared" si="149"/>
        <v>1.3102932909849001</v>
      </c>
      <c r="AW178" s="879">
        <f t="shared" si="149"/>
        <v>1.1335481396063301</v>
      </c>
      <c r="AX178" s="879">
        <f t="shared" si="149"/>
        <v>1.31079837813935</v>
      </c>
      <c r="AY178" s="879">
        <f t="shared" si="149"/>
        <v>1.2445040750321399</v>
      </c>
      <c r="AZ178" s="879">
        <f t="shared" si="149"/>
        <v>1.20857462686404</v>
      </c>
      <c r="BA178" s="879">
        <f t="shared" si="149"/>
        <v>1.1702391183002201</v>
      </c>
      <c r="BB178" s="879">
        <f t="shared" si="149"/>
        <v>1.0899046144223199</v>
      </c>
      <c r="BC178" s="879">
        <f t="shared" si="149"/>
        <v>1.04478607144883</v>
      </c>
      <c r="BD178" s="879">
        <f t="shared" si="149"/>
        <v>0.913497795390807</v>
      </c>
      <c r="BE178" s="879">
        <f t="shared" si="149"/>
        <v>1.04460880676287</v>
      </c>
      <c r="BF178" s="879">
        <f t="shared" si="149"/>
        <v>0.93579758206657904</v>
      </c>
      <c r="BG178" s="879">
        <f t="shared" si="149"/>
        <v>0.80218462851250705</v>
      </c>
      <c r="BH178" s="879">
        <f t="shared" si="149"/>
        <v>0.67268841438561</v>
      </c>
      <c r="BI178" s="879">
        <f t="shared" si="149"/>
        <v>0.60143765671715699</v>
      </c>
      <c r="BJ178" s="879">
        <f t="shared" si="149"/>
        <v>1.13938942302403</v>
      </c>
      <c r="BK178" s="879">
        <f t="shared" si="149"/>
        <v>0.79945710797407799</v>
      </c>
      <c r="BL178" s="879">
        <f t="shared" si="149"/>
        <v>0.76242116830734596</v>
      </c>
      <c r="BM178" s="879">
        <f t="shared" si="149"/>
        <v>0.67029676414829698</v>
      </c>
      <c r="BN178" s="879">
        <f t="shared" si="149"/>
        <v>0.85359012296743597</v>
      </c>
      <c r="BO178" s="879">
        <f t="shared" si="149"/>
        <v>0.70310058611725901</v>
      </c>
      <c r="BP178" s="879">
        <f t="shared" si="149"/>
        <v>0.48997565583935598</v>
      </c>
      <c r="BQ178" s="879">
        <f t="shared" si="149"/>
        <v>0.57245650294238504</v>
      </c>
      <c r="BR178" s="879">
        <f t="shared" si="149"/>
        <v>0.61254270659832799</v>
      </c>
      <c r="BS178" s="879">
        <f t="shared" si="149"/>
        <v>0.73290346210492097</v>
      </c>
      <c r="BT178" s="879">
        <f t="shared" ref="BT178:CI178" si="150">BT176+BT177</f>
        <v>0.50434809547383097</v>
      </c>
      <c r="BU178" s="879">
        <f t="shared" si="150"/>
        <v>0.51719181090719402</v>
      </c>
      <c r="BV178" s="879">
        <f t="shared" si="150"/>
        <v>0.28259852647243999</v>
      </c>
      <c r="BW178" s="879">
        <f t="shared" si="150"/>
        <v>0.40162112390325799</v>
      </c>
      <c r="BX178" s="879">
        <f t="shared" si="150"/>
        <v>0.42673332882113901</v>
      </c>
      <c r="BY178" s="879">
        <f t="shared" si="150"/>
        <v>0.50349307432894197</v>
      </c>
      <c r="BZ178" s="879">
        <f t="shared" si="150"/>
        <v>0.62924459239994401</v>
      </c>
      <c r="CA178" s="879">
        <f t="shared" si="150"/>
        <v>0.47140198434045399</v>
      </c>
      <c r="CB178" s="879">
        <f t="shared" si="150"/>
        <v>0.31967972062523797</v>
      </c>
      <c r="CC178" s="879">
        <f t="shared" si="150"/>
        <v>0.44510525882819901</v>
      </c>
      <c r="CD178" s="879">
        <f t="shared" si="150"/>
        <v>0.25587008338800099</v>
      </c>
      <c r="CE178" s="879">
        <f t="shared" si="150"/>
        <v>0.28292681251539997</v>
      </c>
      <c r="CF178" s="879">
        <f t="shared" si="150"/>
        <v>0.13829334705695001</v>
      </c>
      <c r="CG178" s="879">
        <f t="shared" si="150"/>
        <v>0.27940958313096498</v>
      </c>
      <c r="CH178" s="879">
        <f t="shared" si="150"/>
        <v>0.26561832351584302</v>
      </c>
      <c r="CI178" s="879">
        <f t="shared" si="150"/>
        <v>0.21372858031408401</v>
      </c>
      <c r="CJ178" s="1478"/>
      <c r="CK178" s="1478"/>
      <c r="CL178" s="1478"/>
      <c r="CM178" s="1478"/>
      <c r="CN178" s="1478"/>
      <c r="CO178" s="1478"/>
      <c r="CP178" s="1478"/>
      <c r="CQ178" s="1478"/>
      <c r="CR178" s="1478"/>
      <c r="CS178" s="1478"/>
    </row>
    <row r="179" spans="2:97" x14ac:dyDescent="0.35">
      <c r="B179" s="1153" t="s">
        <v>623</v>
      </c>
      <c r="C179" s="1154" t="s">
        <v>465</v>
      </c>
      <c r="D179" s="1155" t="s">
        <v>624</v>
      </c>
      <c r="E179" s="1154" t="s">
        <v>305</v>
      </c>
      <c r="F179" s="1156">
        <v>2</v>
      </c>
      <c r="G179" s="880">
        <f>G132-G175</f>
        <v>11.11537229000001</v>
      </c>
      <c r="H179" s="880">
        <f t="shared" ref="H179:BS179" si="151">H132-H175</f>
        <v>13.511812599999999</v>
      </c>
      <c r="I179" s="880">
        <f t="shared" si="151"/>
        <v>13.820136939999998</v>
      </c>
      <c r="J179" s="880">
        <f t="shared" si="151"/>
        <v>13.90047933000001</v>
      </c>
      <c r="K179" s="880">
        <f t="shared" si="151"/>
        <v>13.789901209999996</v>
      </c>
      <c r="L179" s="880">
        <f t="shared" si="151"/>
        <v>10.330222939999999</v>
      </c>
      <c r="M179" s="881">
        <f>M132-M175</f>
        <v>8.9857261681295171</v>
      </c>
      <c r="N179" s="881">
        <f t="shared" si="151"/>
        <v>8.6606850881294974</v>
      </c>
      <c r="O179" s="881">
        <f t="shared" si="151"/>
        <v>8.0004198881295139</v>
      </c>
      <c r="P179" s="881">
        <f t="shared" si="151"/>
        <v>7.8446209481295028</v>
      </c>
      <c r="Q179" s="881">
        <f t="shared" si="151"/>
        <v>7.9762121710611922</v>
      </c>
      <c r="R179" s="881">
        <f t="shared" si="151"/>
        <v>2.4195075400118213</v>
      </c>
      <c r="S179" s="881">
        <f t="shared" si="151"/>
        <v>15.03344045870638</v>
      </c>
      <c r="T179" s="881">
        <f t="shared" si="151"/>
        <v>16.17406306401648</v>
      </c>
      <c r="U179" s="881">
        <f>U132-U175</f>
        <v>16.257583817681336</v>
      </c>
      <c r="V179" s="881">
        <f t="shared" si="151"/>
        <v>16.448936041427984</v>
      </c>
      <c r="W179" s="881">
        <f t="shared" si="151"/>
        <v>16.295007229876461</v>
      </c>
      <c r="X179" s="881">
        <f t="shared" si="151"/>
        <v>34.163177493667334</v>
      </c>
      <c r="Y179" s="881">
        <f t="shared" si="151"/>
        <v>34.041223109090282</v>
      </c>
      <c r="Z179" s="881">
        <f t="shared" si="151"/>
        <v>33.983426866462281</v>
      </c>
      <c r="AA179" s="881">
        <f t="shared" si="151"/>
        <v>34.278482378834113</v>
      </c>
      <c r="AB179" s="881">
        <f t="shared" si="151"/>
        <v>9.3387042516766456</v>
      </c>
      <c r="AC179" s="881">
        <f t="shared" si="151"/>
        <v>9.4492897682208508</v>
      </c>
      <c r="AD179" s="881">
        <f t="shared" si="151"/>
        <v>9.5688576211332901</v>
      </c>
      <c r="AE179" s="881">
        <f t="shared" si="151"/>
        <v>9.7063069106851856</v>
      </c>
      <c r="AF179" s="881">
        <f t="shared" si="151"/>
        <v>9.8660646360592636</v>
      </c>
      <c r="AG179" s="881">
        <f t="shared" si="151"/>
        <v>9.7826587922818646</v>
      </c>
      <c r="AH179" s="881">
        <f t="shared" si="151"/>
        <v>9.7068694254544141</v>
      </c>
      <c r="AI179" s="881">
        <f t="shared" si="151"/>
        <v>9.6431112658613642</v>
      </c>
      <c r="AJ179" s="881">
        <f t="shared" si="151"/>
        <v>9.5954703088297606</v>
      </c>
      <c r="AK179" s="881">
        <f t="shared" si="151"/>
        <v>9.6144454101219452</v>
      </c>
      <c r="AL179" s="881">
        <f t="shared" si="151"/>
        <v>9.6136722111083373</v>
      </c>
      <c r="AM179" s="881">
        <f t="shared" si="151"/>
        <v>9.6134513481853077</v>
      </c>
      <c r="AN179" s="881">
        <f t="shared" si="151"/>
        <v>9.6159701139305014</v>
      </c>
      <c r="AO179" s="881">
        <f t="shared" si="151"/>
        <v>9.5074097967068667</v>
      </c>
      <c r="AP179" s="881">
        <f t="shared" si="151"/>
        <v>9.3985965505245588</v>
      </c>
      <c r="AQ179" s="881">
        <f t="shared" si="151"/>
        <v>9.2894515384729743</v>
      </c>
      <c r="AR179" s="881">
        <f t="shared" si="151"/>
        <v>9.1861788532665543</v>
      </c>
      <c r="AS179" s="881">
        <f t="shared" si="151"/>
        <v>9.0872974273191005</v>
      </c>
      <c r="AT179" s="881">
        <f t="shared" si="151"/>
        <v>8.987955265644672</v>
      </c>
      <c r="AU179" s="881">
        <f t="shared" si="151"/>
        <v>8.8909315220769258</v>
      </c>
      <c r="AV179" s="881">
        <f t="shared" si="151"/>
        <v>8.7947895434205208</v>
      </c>
      <c r="AW179" s="881">
        <f t="shared" si="151"/>
        <v>8.6981415125882506</v>
      </c>
      <c r="AX179" s="881">
        <f t="shared" si="151"/>
        <v>8.6013098196860511</v>
      </c>
      <c r="AY179" s="881">
        <f t="shared" si="151"/>
        <v>8.5023067321257884</v>
      </c>
      <c r="AZ179" s="881">
        <f t="shared" si="151"/>
        <v>8.4010204608676986</v>
      </c>
      <c r="BA179" s="881">
        <f t="shared" si="151"/>
        <v>8.2977604572182884</v>
      </c>
      <c r="BB179" s="881">
        <f t="shared" si="151"/>
        <v>8.1944751084033669</v>
      </c>
      <c r="BC179" s="881">
        <f t="shared" si="151"/>
        <v>8.0886371140454969</v>
      </c>
      <c r="BD179" s="881">
        <f t="shared" si="151"/>
        <v>7.9811285371421548</v>
      </c>
      <c r="BE179" s="881">
        <f t="shared" si="151"/>
        <v>9.8714814897175387</v>
      </c>
      <c r="BF179" s="881">
        <f t="shared" si="151"/>
        <v>9.7576815757226001</v>
      </c>
      <c r="BG179" s="881">
        <f t="shared" si="151"/>
        <v>9.6404876124075827</v>
      </c>
      <c r="BH179" s="881">
        <f t="shared" si="151"/>
        <v>9.5195313287941303</v>
      </c>
      <c r="BI179" s="881">
        <f t="shared" si="151"/>
        <v>9.3963743277749359</v>
      </c>
      <c r="BJ179" s="881">
        <f t="shared" si="151"/>
        <v>9.27043345201335</v>
      </c>
      <c r="BK179" s="881">
        <f t="shared" si="151"/>
        <v>9.1418021303113051</v>
      </c>
      <c r="BL179" s="881">
        <f t="shared" si="151"/>
        <v>9.0097123440968119</v>
      </c>
      <c r="BM179" s="881">
        <f t="shared" si="151"/>
        <v>8.8729291888041502</v>
      </c>
      <c r="BN179" s="881">
        <f t="shared" si="151"/>
        <v>8.732102344245817</v>
      </c>
      <c r="BO179" s="881">
        <f t="shared" si="151"/>
        <v>8.5859307999730987</v>
      </c>
      <c r="BP179" s="881">
        <f t="shared" si="151"/>
        <v>8.4352298879277328</v>
      </c>
      <c r="BQ179" s="881">
        <f t="shared" si="151"/>
        <v>8.2800272455129829</v>
      </c>
      <c r="BR179" s="881">
        <f t="shared" si="151"/>
        <v>8.1227881583406543</v>
      </c>
      <c r="BS179" s="881">
        <f t="shared" si="151"/>
        <v>7.9626171109597976</v>
      </c>
      <c r="BT179" s="881">
        <f t="shared" ref="BT179:CI179" si="152">BT132-BT175</f>
        <v>7.7999165902699303</v>
      </c>
      <c r="BU179" s="881">
        <f t="shared" si="152"/>
        <v>7.6339186182050867</v>
      </c>
      <c r="BV179" s="881">
        <f t="shared" si="152"/>
        <v>7.4673068820080744</v>
      </c>
      <c r="BW179" s="881">
        <f t="shared" si="152"/>
        <v>7.2987945068893794</v>
      </c>
      <c r="BX179" s="881">
        <f t="shared" si="152"/>
        <v>7.1285945337030654</v>
      </c>
      <c r="BY179" s="881">
        <f t="shared" si="152"/>
        <v>6.9562006055935228</v>
      </c>
      <c r="BZ179" s="881">
        <f t="shared" si="152"/>
        <v>6.7828556659146102</v>
      </c>
      <c r="CA179" s="881">
        <f t="shared" si="152"/>
        <v>6.6084154944281863</v>
      </c>
      <c r="CB179" s="881">
        <f t="shared" si="152"/>
        <v>6.4347985270457997</v>
      </c>
      <c r="CC179" s="881">
        <f t="shared" si="152"/>
        <v>6.2605612504520707</v>
      </c>
      <c r="CD179" s="881">
        <f t="shared" si="152"/>
        <v>6.0871056024908512</v>
      </c>
      <c r="CE179" s="881">
        <f t="shared" si="152"/>
        <v>5.9143572860700147</v>
      </c>
      <c r="CF179" s="881">
        <f t="shared" si="152"/>
        <v>5.7432595607827324</v>
      </c>
      <c r="CG179" s="881">
        <f t="shared" si="152"/>
        <v>5.5733825581049103</v>
      </c>
      <c r="CH179" s="881">
        <f t="shared" si="152"/>
        <v>5.4824213920190346</v>
      </c>
      <c r="CI179" s="882">
        <f t="shared" si="152"/>
        <v>1.3284601830000042</v>
      </c>
      <c r="CJ179" s="1478"/>
      <c r="CK179" s="1478"/>
      <c r="CL179" s="1478"/>
      <c r="CM179" s="1478"/>
      <c r="CN179" s="1478"/>
      <c r="CO179" s="1478"/>
      <c r="CP179" s="1478"/>
      <c r="CQ179" s="1478"/>
      <c r="CR179" s="1478"/>
      <c r="CS179" s="1478"/>
    </row>
    <row r="180" spans="2:97" ht="14.5" thickBot="1" x14ac:dyDescent="0.4">
      <c r="B180" s="1153" t="s">
        <v>625</v>
      </c>
      <c r="C180" s="1154" t="s">
        <v>468</v>
      </c>
      <c r="D180" s="1155" t="s">
        <v>626</v>
      </c>
      <c r="E180" s="1154" t="s">
        <v>305</v>
      </c>
      <c r="F180" s="1156">
        <v>2</v>
      </c>
      <c r="G180" s="880">
        <f t="shared" ref="G180:AL180" si="153">G123-G134</f>
        <v>0</v>
      </c>
      <c r="H180" s="880">
        <f t="shared" si="153"/>
        <v>0</v>
      </c>
      <c r="I180" s="880">
        <f t="shared" si="153"/>
        <v>0</v>
      </c>
      <c r="J180" s="880">
        <f t="shared" si="153"/>
        <v>0</v>
      </c>
      <c r="K180" s="880">
        <f t="shared" si="153"/>
        <v>0</v>
      </c>
      <c r="L180" s="880">
        <f t="shared" si="153"/>
        <v>0</v>
      </c>
      <c r="M180" s="880">
        <f t="shared" si="153"/>
        <v>0</v>
      </c>
      <c r="N180" s="880">
        <f t="shared" si="153"/>
        <v>0</v>
      </c>
      <c r="O180" s="880">
        <f t="shared" si="153"/>
        <v>0</v>
      </c>
      <c r="P180" s="880">
        <f t="shared" si="153"/>
        <v>0</v>
      </c>
      <c r="Q180" s="880">
        <f t="shared" si="153"/>
        <v>0</v>
      </c>
      <c r="R180" s="880">
        <f t="shared" si="153"/>
        <v>0</v>
      </c>
      <c r="S180" s="880">
        <f t="shared" si="153"/>
        <v>0</v>
      </c>
      <c r="T180" s="880">
        <f t="shared" si="153"/>
        <v>0</v>
      </c>
      <c r="U180" s="880">
        <f t="shared" si="153"/>
        <v>0</v>
      </c>
      <c r="V180" s="880">
        <f t="shared" si="153"/>
        <v>0</v>
      </c>
      <c r="W180" s="880">
        <f t="shared" si="153"/>
        <v>0</v>
      </c>
      <c r="X180" s="880">
        <f t="shared" si="153"/>
        <v>0</v>
      </c>
      <c r="Y180" s="880">
        <f t="shared" si="153"/>
        <v>0</v>
      </c>
      <c r="Z180" s="880">
        <f t="shared" si="153"/>
        <v>0</v>
      </c>
      <c r="AA180" s="880">
        <f t="shared" si="153"/>
        <v>0</v>
      </c>
      <c r="AB180" s="880">
        <f t="shared" si="153"/>
        <v>0</v>
      </c>
      <c r="AC180" s="880">
        <f t="shared" si="153"/>
        <v>0</v>
      </c>
      <c r="AD180" s="880">
        <f t="shared" si="153"/>
        <v>0</v>
      </c>
      <c r="AE180" s="880">
        <f t="shared" si="153"/>
        <v>0</v>
      </c>
      <c r="AF180" s="880">
        <f t="shared" si="153"/>
        <v>0</v>
      </c>
      <c r="AG180" s="880">
        <f t="shared" si="153"/>
        <v>0</v>
      </c>
      <c r="AH180" s="880">
        <f t="shared" si="153"/>
        <v>0</v>
      </c>
      <c r="AI180" s="880">
        <f t="shared" si="153"/>
        <v>0</v>
      </c>
      <c r="AJ180" s="880">
        <f t="shared" si="153"/>
        <v>0</v>
      </c>
      <c r="AK180" s="880">
        <f t="shared" si="153"/>
        <v>0</v>
      </c>
      <c r="AL180" s="880">
        <f t="shared" si="153"/>
        <v>0</v>
      </c>
      <c r="AM180" s="880">
        <f t="shared" ref="AM180:BR180" si="154">AM123-AM134</f>
        <v>0</v>
      </c>
      <c r="AN180" s="880">
        <f t="shared" si="154"/>
        <v>0</v>
      </c>
      <c r="AO180" s="880">
        <f t="shared" si="154"/>
        <v>0</v>
      </c>
      <c r="AP180" s="880">
        <f t="shared" si="154"/>
        <v>0</v>
      </c>
      <c r="AQ180" s="880">
        <f t="shared" si="154"/>
        <v>0</v>
      </c>
      <c r="AR180" s="880">
        <f t="shared" si="154"/>
        <v>0</v>
      </c>
      <c r="AS180" s="880">
        <f t="shared" si="154"/>
        <v>0</v>
      </c>
      <c r="AT180" s="880">
        <f t="shared" si="154"/>
        <v>0</v>
      </c>
      <c r="AU180" s="880">
        <f t="shared" si="154"/>
        <v>0</v>
      </c>
      <c r="AV180" s="880">
        <f t="shared" si="154"/>
        <v>0</v>
      </c>
      <c r="AW180" s="880">
        <f t="shared" si="154"/>
        <v>0</v>
      </c>
      <c r="AX180" s="880">
        <f t="shared" si="154"/>
        <v>0</v>
      </c>
      <c r="AY180" s="880">
        <f t="shared" si="154"/>
        <v>0</v>
      </c>
      <c r="AZ180" s="880">
        <f t="shared" si="154"/>
        <v>0</v>
      </c>
      <c r="BA180" s="880">
        <f t="shared" si="154"/>
        <v>0</v>
      </c>
      <c r="BB180" s="880">
        <f t="shared" si="154"/>
        <v>0</v>
      </c>
      <c r="BC180" s="880">
        <f t="shared" si="154"/>
        <v>0</v>
      </c>
      <c r="BD180" s="880">
        <f t="shared" si="154"/>
        <v>0</v>
      </c>
      <c r="BE180" s="880">
        <f t="shared" si="154"/>
        <v>0</v>
      </c>
      <c r="BF180" s="880">
        <f t="shared" si="154"/>
        <v>0</v>
      </c>
      <c r="BG180" s="880">
        <f t="shared" si="154"/>
        <v>0</v>
      </c>
      <c r="BH180" s="880">
        <f t="shared" si="154"/>
        <v>0</v>
      </c>
      <c r="BI180" s="880">
        <f t="shared" si="154"/>
        <v>0</v>
      </c>
      <c r="BJ180" s="880">
        <f t="shared" si="154"/>
        <v>0</v>
      </c>
      <c r="BK180" s="880">
        <f t="shared" si="154"/>
        <v>0</v>
      </c>
      <c r="BL180" s="880">
        <f t="shared" si="154"/>
        <v>0</v>
      </c>
      <c r="BM180" s="880">
        <f t="shared" si="154"/>
        <v>0</v>
      </c>
      <c r="BN180" s="880">
        <f t="shared" si="154"/>
        <v>0</v>
      </c>
      <c r="BO180" s="880">
        <f t="shared" si="154"/>
        <v>0</v>
      </c>
      <c r="BP180" s="880">
        <f t="shared" si="154"/>
        <v>0</v>
      </c>
      <c r="BQ180" s="880">
        <f t="shared" si="154"/>
        <v>0</v>
      </c>
      <c r="BR180" s="880">
        <f t="shared" si="154"/>
        <v>0</v>
      </c>
      <c r="BS180" s="880">
        <f t="shared" ref="BS180:CI180" si="155">BS123-BS134</f>
        <v>0.5</v>
      </c>
      <c r="BT180" s="880">
        <f t="shared" si="155"/>
        <v>0.5</v>
      </c>
      <c r="BU180" s="880">
        <f t="shared" si="155"/>
        <v>0.5</v>
      </c>
      <c r="BV180" s="880">
        <f t="shared" si="155"/>
        <v>0.5</v>
      </c>
      <c r="BW180" s="880">
        <f t="shared" si="155"/>
        <v>0.5</v>
      </c>
      <c r="BX180" s="880">
        <f t="shared" si="155"/>
        <v>1.4</v>
      </c>
      <c r="BY180" s="880">
        <f t="shared" si="155"/>
        <v>1.4</v>
      </c>
      <c r="BZ180" s="880">
        <f t="shared" si="155"/>
        <v>1.4</v>
      </c>
      <c r="CA180" s="880">
        <f t="shared" si="155"/>
        <v>1.4</v>
      </c>
      <c r="CB180" s="880">
        <f t="shared" si="155"/>
        <v>1.4</v>
      </c>
      <c r="CC180" s="880">
        <f t="shared" si="155"/>
        <v>1.4</v>
      </c>
      <c r="CD180" s="880">
        <f t="shared" si="155"/>
        <v>1.4</v>
      </c>
      <c r="CE180" s="880">
        <f t="shared" si="155"/>
        <v>1.4</v>
      </c>
      <c r="CF180" s="880">
        <f t="shared" si="155"/>
        <v>1.4</v>
      </c>
      <c r="CG180" s="880">
        <f t="shared" si="155"/>
        <v>1.4</v>
      </c>
      <c r="CH180" s="880">
        <f t="shared" si="155"/>
        <v>1.4</v>
      </c>
      <c r="CI180" s="880">
        <f t="shared" si="155"/>
        <v>1.4</v>
      </c>
      <c r="CJ180" s="1478"/>
      <c r="CK180" s="1478"/>
      <c r="CL180" s="1478"/>
      <c r="CM180" s="1478"/>
      <c r="CN180" s="1478"/>
      <c r="CO180" s="1478"/>
      <c r="CP180" s="1478"/>
      <c r="CQ180" s="1478"/>
      <c r="CR180" s="1478"/>
      <c r="CS180" s="1478"/>
    </row>
    <row r="181" spans="2:97" x14ac:dyDescent="0.35">
      <c r="B181" s="883" t="s">
        <v>627</v>
      </c>
      <c r="C181" s="884" t="s">
        <v>471</v>
      </c>
      <c r="D181" s="885" t="s">
        <v>628</v>
      </c>
      <c r="E181" s="884" t="s">
        <v>305</v>
      </c>
      <c r="F181" s="886">
        <v>2</v>
      </c>
      <c r="G181" s="887">
        <f>G179-G178</f>
        <v>11.11537229000001</v>
      </c>
      <c r="H181" s="887">
        <f t="shared" ref="H181:BS181" si="156">H179-H178</f>
        <v>13.511812599999999</v>
      </c>
      <c r="I181" s="887">
        <f t="shared" si="156"/>
        <v>10.844377229758877</v>
      </c>
      <c r="J181" s="887">
        <f t="shared" si="156"/>
        <v>10.54278381455452</v>
      </c>
      <c r="K181" s="887">
        <f t="shared" si="156"/>
        <v>10.932493306706117</v>
      </c>
      <c r="L181" s="887">
        <f t="shared" si="156"/>
        <v>7.2932666980196386</v>
      </c>
      <c r="M181" s="888">
        <f>M179-M178</f>
        <v>5.7273167682591772</v>
      </c>
      <c r="N181" s="888">
        <f t="shared" si="156"/>
        <v>5.5399720208393175</v>
      </c>
      <c r="O181" s="888">
        <f t="shared" si="156"/>
        <v>4.6129062578689837</v>
      </c>
      <c r="P181" s="888">
        <f t="shared" si="156"/>
        <v>4.5389881354936126</v>
      </c>
      <c r="Q181" s="888">
        <f t="shared" si="156"/>
        <v>5.7597792452490015</v>
      </c>
      <c r="R181" s="888">
        <f t="shared" si="156"/>
        <v>0.20264831396862126</v>
      </c>
      <c r="S181" s="888">
        <f t="shared" si="156"/>
        <v>12.644865368282471</v>
      </c>
      <c r="T181" s="888">
        <f t="shared" si="156"/>
        <v>13.785161297958799</v>
      </c>
      <c r="U181" s="888">
        <f>U179-U178</f>
        <v>13.677013901613147</v>
      </c>
      <c r="V181" s="888">
        <f t="shared" si="156"/>
        <v>15.164229750198274</v>
      </c>
      <c r="W181" s="888">
        <f t="shared" si="156"/>
        <v>15.047304172752971</v>
      </c>
      <c r="X181" s="888">
        <f t="shared" si="156"/>
        <v>32.803240453629613</v>
      </c>
      <c r="Y181" s="888">
        <f t="shared" si="156"/>
        <v>32.601383647247253</v>
      </c>
      <c r="Z181" s="888">
        <f t="shared" si="156"/>
        <v>32.473941708633113</v>
      </c>
      <c r="AA181" s="888">
        <f t="shared" si="156"/>
        <v>32.819049210231306</v>
      </c>
      <c r="AB181" s="888">
        <f t="shared" si="156"/>
        <v>7.9833097459535853</v>
      </c>
      <c r="AC181" s="888">
        <f t="shared" si="156"/>
        <v>8.0149257041753206</v>
      </c>
      <c r="AD181" s="888">
        <f t="shared" si="156"/>
        <v>8.0030672968070391</v>
      </c>
      <c r="AE181" s="888">
        <f t="shared" si="156"/>
        <v>8.1837293008699348</v>
      </c>
      <c r="AF181" s="888">
        <f t="shared" si="156"/>
        <v>8.3190204393919238</v>
      </c>
      <c r="AG181" s="888">
        <f t="shared" si="156"/>
        <v>8.1359638594967354</v>
      </c>
      <c r="AH181" s="888">
        <f t="shared" si="156"/>
        <v>8.1502034861826438</v>
      </c>
      <c r="AI181" s="888">
        <f t="shared" si="156"/>
        <v>8.0908822612435536</v>
      </c>
      <c r="AJ181" s="888">
        <f t="shared" si="156"/>
        <v>8.0086875283812002</v>
      </c>
      <c r="AK181" s="888">
        <f t="shared" si="156"/>
        <v>8.047714025053466</v>
      </c>
      <c r="AL181" s="888">
        <f t="shared" si="156"/>
        <v>7.9901671351701475</v>
      </c>
      <c r="AM181" s="888">
        <f t="shared" si="156"/>
        <v>8.0201280989017576</v>
      </c>
      <c r="AN181" s="888">
        <f t="shared" si="156"/>
        <v>7.9273029158314916</v>
      </c>
      <c r="AO181" s="888">
        <f t="shared" si="156"/>
        <v>7.8990776273264771</v>
      </c>
      <c r="AP181" s="888">
        <f t="shared" si="156"/>
        <v>7.8989276592076383</v>
      </c>
      <c r="AQ181" s="888">
        <f t="shared" si="156"/>
        <v>7.7306682120351242</v>
      </c>
      <c r="AR181" s="888">
        <f t="shared" si="156"/>
        <v>7.7173202838529047</v>
      </c>
      <c r="AS181" s="888">
        <f t="shared" si="156"/>
        <v>7.6382843226412902</v>
      </c>
      <c r="AT181" s="888">
        <f t="shared" si="156"/>
        <v>7.6197759388677824</v>
      </c>
      <c r="AU181" s="888">
        <f t="shared" si="156"/>
        <v>7.603143490786576</v>
      </c>
      <c r="AV181" s="888">
        <f t="shared" si="156"/>
        <v>7.4844962524356209</v>
      </c>
      <c r="AW181" s="888">
        <f t="shared" si="156"/>
        <v>7.5645933729819204</v>
      </c>
      <c r="AX181" s="888">
        <f t="shared" si="156"/>
        <v>7.2905114415467009</v>
      </c>
      <c r="AY181" s="888">
        <f t="shared" si="156"/>
        <v>7.2578026570936487</v>
      </c>
      <c r="AZ181" s="888">
        <f t="shared" si="156"/>
        <v>7.1924458340036583</v>
      </c>
      <c r="BA181" s="888">
        <f t="shared" si="156"/>
        <v>7.1275213389180685</v>
      </c>
      <c r="BB181" s="888">
        <f t="shared" si="156"/>
        <v>7.104570493981047</v>
      </c>
      <c r="BC181" s="888">
        <f t="shared" si="156"/>
        <v>7.0438510425966667</v>
      </c>
      <c r="BD181" s="888">
        <f t="shared" si="156"/>
        <v>7.0676307417513478</v>
      </c>
      <c r="BE181" s="888">
        <f t="shared" si="156"/>
        <v>8.8268726829546686</v>
      </c>
      <c r="BF181" s="888">
        <f t="shared" si="156"/>
        <v>8.8218839936560212</v>
      </c>
      <c r="BG181" s="888">
        <f t="shared" si="156"/>
        <v>8.8383029838950762</v>
      </c>
      <c r="BH181" s="888">
        <f t="shared" si="156"/>
        <v>8.846842914408521</v>
      </c>
      <c r="BI181" s="888">
        <f t="shared" si="156"/>
        <v>8.7949366710577781</v>
      </c>
      <c r="BJ181" s="888">
        <f t="shared" si="156"/>
        <v>8.1310440289893204</v>
      </c>
      <c r="BK181" s="888">
        <f t="shared" si="156"/>
        <v>8.3423450223372271</v>
      </c>
      <c r="BL181" s="888">
        <f t="shared" si="156"/>
        <v>8.2472911757894654</v>
      </c>
      <c r="BM181" s="888">
        <f t="shared" si="156"/>
        <v>8.2026324246558531</v>
      </c>
      <c r="BN181" s="888">
        <f t="shared" si="156"/>
        <v>7.8785122212783811</v>
      </c>
      <c r="BO181" s="888">
        <f t="shared" si="156"/>
        <v>7.8828302138558399</v>
      </c>
      <c r="BP181" s="888">
        <f t="shared" si="156"/>
        <v>7.9452542320883772</v>
      </c>
      <c r="BQ181" s="888">
        <f t="shared" si="156"/>
        <v>7.7075707425705975</v>
      </c>
      <c r="BR181" s="888">
        <f t="shared" si="156"/>
        <v>7.5102454517423265</v>
      </c>
      <c r="BS181" s="888">
        <f t="shared" si="156"/>
        <v>7.2297136488548768</v>
      </c>
      <c r="BT181" s="888">
        <f t="shared" ref="BT181:CI181" si="157">BT179-BT178</f>
        <v>7.2955684947960995</v>
      </c>
      <c r="BU181" s="888">
        <f t="shared" si="157"/>
        <v>7.1167268072978924</v>
      </c>
      <c r="BV181" s="888">
        <f t="shared" si="157"/>
        <v>7.1847083555356344</v>
      </c>
      <c r="BW181" s="888">
        <f t="shared" si="157"/>
        <v>6.8971733829861215</v>
      </c>
      <c r="BX181" s="888">
        <f t="shared" si="157"/>
        <v>6.7018612048819266</v>
      </c>
      <c r="BY181" s="888">
        <f t="shared" si="157"/>
        <v>6.452707531264581</v>
      </c>
      <c r="BZ181" s="888">
        <f t="shared" si="157"/>
        <v>6.1536110735146661</v>
      </c>
      <c r="CA181" s="888">
        <f t="shared" si="157"/>
        <v>6.1370135100877325</v>
      </c>
      <c r="CB181" s="888">
        <f t="shared" si="157"/>
        <v>6.1151188064205613</v>
      </c>
      <c r="CC181" s="888">
        <f t="shared" si="157"/>
        <v>5.8154559916238719</v>
      </c>
      <c r="CD181" s="888">
        <f t="shared" si="157"/>
        <v>5.83123551910285</v>
      </c>
      <c r="CE181" s="888">
        <f t="shared" si="157"/>
        <v>5.631430473554615</v>
      </c>
      <c r="CF181" s="888">
        <f t="shared" si="157"/>
        <v>5.6049662137257821</v>
      </c>
      <c r="CG181" s="888">
        <f t="shared" si="157"/>
        <v>5.2939729749739453</v>
      </c>
      <c r="CH181" s="888">
        <f t="shared" si="157"/>
        <v>5.2168030685031912</v>
      </c>
      <c r="CI181" s="889">
        <f t="shared" si="157"/>
        <v>1.1147316026859202</v>
      </c>
      <c r="CJ181" s="1478"/>
      <c r="CK181" s="1478"/>
      <c r="CL181" s="1478"/>
      <c r="CM181" s="1478"/>
      <c r="CN181" s="1478"/>
      <c r="CO181" s="1478"/>
      <c r="CP181" s="1478"/>
      <c r="CQ181" s="1478"/>
      <c r="CR181" s="1478"/>
      <c r="CS181" s="1478"/>
    </row>
    <row r="182" spans="2:97" x14ac:dyDescent="0.35">
      <c r="B182" s="729"/>
      <c r="C182" s="729"/>
      <c r="D182" s="63"/>
      <c r="E182" s="729"/>
      <c r="F182" s="890"/>
      <c r="G182" s="891"/>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1"/>
      <c r="AL182" s="891"/>
      <c r="AM182" s="891"/>
      <c r="AN182" s="891"/>
      <c r="AO182" s="891"/>
      <c r="AP182" s="891"/>
      <c r="AQ182" s="891"/>
      <c r="AR182" s="891"/>
      <c r="AS182" s="891"/>
      <c r="AT182" s="891"/>
      <c r="AU182" s="891"/>
      <c r="AV182" s="891"/>
      <c r="AW182" s="891"/>
      <c r="AX182" s="891"/>
      <c r="AY182" s="891"/>
      <c r="AZ182" s="891"/>
      <c r="BA182" s="891"/>
      <c r="BB182" s="891"/>
      <c r="BC182" s="891"/>
      <c r="BD182" s="891"/>
      <c r="BE182" s="891"/>
      <c r="BF182" s="891"/>
      <c r="BG182" s="891"/>
      <c r="BH182" s="891"/>
      <c r="BI182" s="891"/>
      <c r="BJ182" s="891"/>
      <c r="BK182" s="891"/>
      <c r="BL182" s="891"/>
      <c r="BM182" s="891"/>
      <c r="BN182" s="891"/>
      <c r="BO182" s="891"/>
      <c r="BP182" s="891"/>
      <c r="BQ182" s="891"/>
      <c r="BR182" s="891"/>
      <c r="BS182" s="891"/>
      <c r="BT182" s="891"/>
      <c r="BU182" s="891"/>
      <c r="BV182" s="891"/>
      <c r="BW182" s="891"/>
      <c r="BX182" s="891"/>
      <c r="BY182" s="891"/>
      <c r="BZ182" s="891"/>
      <c r="CA182" s="891"/>
      <c r="CB182" s="891"/>
      <c r="CC182" s="891"/>
      <c r="CD182" s="891"/>
      <c r="CE182" s="891"/>
      <c r="CF182" s="891"/>
      <c r="CG182" s="891"/>
      <c r="CH182" s="891"/>
      <c r="CI182" s="891"/>
    </row>
    <row r="183" spans="2:97" ht="35.15" customHeight="1" thickBot="1" x14ac:dyDescent="0.4"/>
    <row r="184" spans="2:97" x14ac:dyDescent="0.35">
      <c r="B184" s="892" t="s">
        <v>60</v>
      </c>
      <c r="C184" s="893" t="s">
        <v>15</v>
      </c>
      <c r="D184" s="892" t="s">
        <v>2</v>
      </c>
      <c r="E184" s="894">
        <v>3</v>
      </c>
    </row>
    <row r="185" spans="2:97" ht="14.5" thickBot="1" x14ac:dyDescent="0.4">
      <c r="B185" s="586" t="s">
        <v>213</v>
      </c>
      <c r="C185" s="587" t="str">
        <f ca="1">MID(CELL("filename",A182),FIND("]",CELL("filename",A182))+1,255)</f>
        <v>CAMCAM</v>
      </c>
      <c r="D185" s="588" t="s">
        <v>214</v>
      </c>
      <c r="E185" s="587" t="s">
        <v>629</v>
      </c>
    </row>
    <row r="186" spans="2:97" x14ac:dyDescent="0.35">
      <c r="B186" s="796"/>
    </row>
    <row r="187" spans="2:97" x14ac:dyDescent="0.35">
      <c r="B187" s="796"/>
    </row>
    <row r="188" spans="2:97" x14ac:dyDescent="0.35">
      <c r="B188" s="796"/>
    </row>
    <row r="189" spans="2:97" x14ac:dyDescent="0.35">
      <c r="B189" s="796"/>
    </row>
    <row r="190" spans="2:97" x14ac:dyDescent="0.35">
      <c r="B190" s="796"/>
    </row>
    <row r="191" spans="2:97" x14ac:dyDescent="0.35">
      <c r="B191" s="796"/>
    </row>
    <row r="192" spans="2:97" x14ac:dyDescent="0.35">
      <c r="B192" s="796"/>
    </row>
    <row r="193" spans="1:89" x14ac:dyDescent="0.35">
      <c r="B193" s="796"/>
    </row>
    <row r="194" spans="1:89" x14ac:dyDescent="0.35">
      <c r="B194" s="796"/>
    </row>
    <row r="195" spans="1:89" x14ac:dyDescent="0.35">
      <c r="B195" s="796"/>
    </row>
    <row r="196" spans="1:89" x14ac:dyDescent="0.35">
      <c r="B196" s="796"/>
    </row>
    <row r="197" spans="1:89" x14ac:dyDescent="0.35">
      <c r="B197" s="796"/>
    </row>
    <row r="198" spans="1:89" x14ac:dyDescent="0.35">
      <c r="B198" s="796"/>
    </row>
    <row r="199" spans="1:89" x14ac:dyDescent="0.35">
      <c r="B199" s="796"/>
    </row>
    <row r="200" spans="1:89" x14ac:dyDescent="0.35">
      <c r="B200" s="796"/>
    </row>
    <row r="201" spans="1:89" x14ac:dyDescent="0.35">
      <c r="B201" s="796"/>
    </row>
    <row r="202" spans="1:89" ht="14.5" thickBot="1" x14ac:dyDescent="0.4">
      <c r="CJ202" s="593"/>
    </row>
    <row r="203" spans="1:89" ht="14.5" thickBot="1" x14ac:dyDescent="0.4">
      <c r="B203" s="895" t="s">
        <v>630</v>
      </c>
      <c r="C203" s="592"/>
      <c r="D203" s="593"/>
      <c r="E203" s="593"/>
      <c r="F203" s="593"/>
      <c r="G203" s="593"/>
      <c r="H203" s="593"/>
      <c r="I203" s="593"/>
      <c r="J203" s="593"/>
      <c r="K203" s="593"/>
      <c r="L203" s="593"/>
      <c r="M203" s="593"/>
      <c r="N203" s="593"/>
      <c r="O203" s="593"/>
      <c r="P203" s="593"/>
      <c r="Q203" s="593"/>
      <c r="R203" s="593"/>
      <c r="S203" s="593"/>
      <c r="T203" s="593"/>
      <c r="U203" s="593"/>
      <c r="V203" s="593"/>
      <c r="W203" s="593"/>
      <c r="X203" s="593"/>
      <c r="Y203" s="593"/>
      <c r="Z203" s="593"/>
      <c r="AA203" s="593"/>
      <c r="AB203" s="593"/>
      <c r="AC203" s="593"/>
      <c r="AD203" s="593"/>
      <c r="AE203" s="593"/>
      <c r="AF203" s="593"/>
      <c r="AG203" s="593"/>
      <c r="AH203" s="593"/>
      <c r="AI203" s="593"/>
      <c r="AJ203" s="593"/>
      <c r="AK203" s="593"/>
      <c r="AL203" s="593"/>
      <c r="AM203" s="593"/>
      <c r="AN203" s="593"/>
      <c r="AO203" s="593"/>
      <c r="AP203" s="593"/>
      <c r="AQ203" s="593"/>
      <c r="AR203" s="593"/>
      <c r="AS203" s="593"/>
      <c r="AT203" s="593"/>
      <c r="AU203" s="593"/>
      <c r="AV203" s="593"/>
      <c r="AW203" s="593"/>
      <c r="AX203" s="593"/>
      <c r="AY203" s="593"/>
      <c r="AZ203" s="593"/>
      <c r="BA203" s="593"/>
      <c r="BB203" s="593"/>
      <c r="BC203" s="593"/>
      <c r="BD203" s="593"/>
      <c r="BE203" s="593"/>
      <c r="BF203" s="593"/>
      <c r="BG203" s="593"/>
      <c r="BH203" s="593"/>
      <c r="BI203" s="593"/>
      <c r="BJ203" s="593"/>
      <c r="BK203" s="593"/>
      <c r="BL203" s="593"/>
      <c r="BM203" s="593"/>
      <c r="BN203" s="593"/>
      <c r="BO203" s="593"/>
      <c r="BP203" s="593"/>
      <c r="BQ203" s="593"/>
      <c r="BR203" s="593"/>
      <c r="BS203" s="593"/>
      <c r="BT203" s="593"/>
      <c r="BU203" s="593"/>
      <c r="BV203" s="593"/>
      <c r="BW203" s="593"/>
      <c r="BX203" s="593"/>
      <c r="BY203" s="593"/>
      <c r="BZ203" s="593"/>
      <c r="CA203" s="593"/>
      <c r="CB203" s="593"/>
      <c r="CC203" s="593"/>
      <c r="CD203" s="593"/>
      <c r="CE203" s="593"/>
      <c r="CF203" s="593"/>
      <c r="CG203" s="593"/>
      <c r="CH203" s="593"/>
      <c r="CI203" s="593"/>
    </row>
    <row r="204" spans="1:89" s="64" customFormat="1" ht="34.5" customHeight="1" thickBot="1" x14ac:dyDescent="0.4">
      <c r="A204" s="58"/>
      <c r="B204" s="896" t="s">
        <v>217</v>
      </c>
      <c r="C204" s="897" t="s">
        <v>218</v>
      </c>
      <c r="D204" s="897" t="s">
        <v>66</v>
      </c>
      <c r="E204" s="897" t="s">
        <v>219</v>
      </c>
      <c r="F204" s="898" t="s">
        <v>220</v>
      </c>
      <c r="G204" s="896" t="s">
        <v>221</v>
      </c>
      <c r="H204" s="896" t="s">
        <v>222</v>
      </c>
      <c r="I204" s="896" t="s">
        <v>223</v>
      </c>
      <c r="J204" s="896" t="s">
        <v>224</v>
      </c>
      <c r="K204" s="896" t="s">
        <v>225</v>
      </c>
      <c r="L204" s="896" t="s">
        <v>226</v>
      </c>
      <c r="M204" s="897" t="s">
        <v>227</v>
      </c>
      <c r="N204" s="897" t="s">
        <v>228</v>
      </c>
      <c r="O204" s="897" t="s">
        <v>229</v>
      </c>
      <c r="P204" s="897" t="s">
        <v>230</v>
      </c>
      <c r="Q204" s="897" t="s">
        <v>231</v>
      </c>
      <c r="R204" s="897" t="s">
        <v>232</v>
      </c>
      <c r="S204" s="897" t="s">
        <v>233</v>
      </c>
      <c r="T204" s="897" t="s">
        <v>234</v>
      </c>
      <c r="U204" s="897" t="s">
        <v>235</v>
      </c>
      <c r="V204" s="897" t="s">
        <v>236</v>
      </c>
      <c r="W204" s="897" t="s">
        <v>237</v>
      </c>
      <c r="X204" s="897" t="s">
        <v>238</v>
      </c>
      <c r="Y204" s="897" t="s">
        <v>239</v>
      </c>
      <c r="Z204" s="897" t="s">
        <v>240</v>
      </c>
      <c r="AA204" s="897" t="s">
        <v>241</v>
      </c>
      <c r="AB204" s="897" t="s">
        <v>242</v>
      </c>
      <c r="AC204" s="897" t="s">
        <v>243</v>
      </c>
      <c r="AD204" s="897" t="s">
        <v>244</v>
      </c>
      <c r="AE204" s="897" t="s">
        <v>245</v>
      </c>
      <c r="AF204" s="897" t="s">
        <v>246</v>
      </c>
      <c r="AG204" s="897" t="s">
        <v>247</v>
      </c>
      <c r="AH204" s="897" t="s">
        <v>248</v>
      </c>
      <c r="AI204" s="897" t="s">
        <v>249</v>
      </c>
      <c r="AJ204" s="897" t="s">
        <v>250</v>
      </c>
      <c r="AK204" s="897" t="s">
        <v>251</v>
      </c>
      <c r="AL204" s="897" t="s">
        <v>252</v>
      </c>
      <c r="AM204" s="897" t="s">
        <v>253</v>
      </c>
      <c r="AN204" s="897" t="s">
        <v>254</v>
      </c>
      <c r="AO204" s="897" t="s">
        <v>255</v>
      </c>
      <c r="AP204" s="897" t="s">
        <v>256</v>
      </c>
      <c r="AQ204" s="897" t="s">
        <v>257</v>
      </c>
      <c r="AR204" s="897" t="s">
        <v>258</v>
      </c>
      <c r="AS204" s="897" t="s">
        <v>259</v>
      </c>
      <c r="AT204" s="897" t="s">
        <v>260</v>
      </c>
      <c r="AU204" s="897" t="s">
        <v>261</v>
      </c>
      <c r="AV204" s="897" t="s">
        <v>262</v>
      </c>
      <c r="AW204" s="897" t="s">
        <v>263</v>
      </c>
      <c r="AX204" s="897" t="s">
        <v>264</v>
      </c>
      <c r="AY204" s="897" t="s">
        <v>265</v>
      </c>
      <c r="AZ204" s="897" t="s">
        <v>266</v>
      </c>
      <c r="BA204" s="897" t="s">
        <v>267</v>
      </c>
      <c r="BB204" s="897" t="s">
        <v>268</v>
      </c>
      <c r="BC204" s="897" t="s">
        <v>269</v>
      </c>
      <c r="BD204" s="897" t="s">
        <v>270</v>
      </c>
      <c r="BE204" s="897" t="s">
        <v>271</v>
      </c>
      <c r="BF204" s="897" t="s">
        <v>272</v>
      </c>
      <c r="BG204" s="897" t="s">
        <v>273</v>
      </c>
      <c r="BH204" s="897" t="s">
        <v>274</v>
      </c>
      <c r="BI204" s="897" t="s">
        <v>275</v>
      </c>
      <c r="BJ204" s="897" t="s">
        <v>276</v>
      </c>
      <c r="BK204" s="897" t="s">
        <v>277</v>
      </c>
      <c r="BL204" s="897" t="s">
        <v>278</v>
      </c>
      <c r="BM204" s="897" t="s">
        <v>279</v>
      </c>
      <c r="BN204" s="897" t="s">
        <v>280</v>
      </c>
      <c r="BO204" s="897" t="s">
        <v>281</v>
      </c>
      <c r="BP204" s="897" t="s">
        <v>282</v>
      </c>
      <c r="BQ204" s="897" t="s">
        <v>283</v>
      </c>
      <c r="BR204" s="897" t="s">
        <v>284</v>
      </c>
      <c r="BS204" s="897" t="s">
        <v>285</v>
      </c>
      <c r="BT204" s="897" t="s">
        <v>286</v>
      </c>
      <c r="BU204" s="897" t="s">
        <v>287</v>
      </c>
      <c r="BV204" s="897" t="s">
        <v>288</v>
      </c>
      <c r="BW204" s="897" t="s">
        <v>289</v>
      </c>
      <c r="BX204" s="897" t="s">
        <v>290</v>
      </c>
      <c r="BY204" s="897" t="s">
        <v>291</v>
      </c>
      <c r="BZ204" s="897" t="s">
        <v>292</v>
      </c>
      <c r="CA204" s="897" t="s">
        <v>293</v>
      </c>
      <c r="CB204" s="897" t="s">
        <v>294</v>
      </c>
      <c r="CC204" s="897" t="s">
        <v>295</v>
      </c>
      <c r="CD204" s="897" t="s">
        <v>296</v>
      </c>
      <c r="CE204" s="897" t="s">
        <v>297</v>
      </c>
      <c r="CF204" s="897" t="s">
        <v>298</v>
      </c>
      <c r="CG204" s="897" t="s">
        <v>299</v>
      </c>
      <c r="CH204" s="897" t="s">
        <v>300</v>
      </c>
      <c r="CI204" s="898" t="s">
        <v>301</v>
      </c>
      <c r="CJ204" s="897" t="s">
        <v>302</v>
      </c>
      <c r="CK204" s="605"/>
    </row>
    <row r="205" spans="1:89" s="64" customFormat="1" x14ac:dyDescent="0.35">
      <c r="A205" s="58"/>
      <c r="B205" s="899" t="s">
        <v>303</v>
      </c>
      <c r="C205" s="900" t="s">
        <v>304</v>
      </c>
      <c r="D205" s="901" t="s">
        <v>82</v>
      </c>
      <c r="E205" s="902" t="s">
        <v>305</v>
      </c>
      <c r="F205" s="903">
        <v>2</v>
      </c>
      <c r="G205" s="602">
        <f>G208+G210+G220+G266</f>
        <v>90.54</v>
      </c>
      <c r="H205" s="602">
        <f t="shared" ref="H205:BS205" si="158">H208+H210+H220+H266</f>
        <v>92.583559690000001</v>
      </c>
      <c r="I205" s="602">
        <f t="shared" si="158"/>
        <v>99.843662949999995</v>
      </c>
      <c r="J205" s="602">
        <f t="shared" si="158"/>
        <v>99.909289400000006</v>
      </c>
      <c r="K205" s="602">
        <f t="shared" si="158"/>
        <v>99.878578749999988</v>
      </c>
      <c r="L205" s="602">
        <f t="shared" si="158"/>
        <v>99.213970059999994</v>
      </c>
      <c r="M205" s="603">
        <f t="shared" si="158"/>
        <v>100.88675232999999</v>
      </c>
      <c r="N205" s="603">
        <f t="shared" si="158"/>
        <v>102.28403668999999</v>
      </c>
      <c r="O205" s="603">
        <f t="shared" si="158"/>
        <v>103.85216265999999</v>
      </c>
      <c r="P205" s="603">
        <f t="shared" si="158"/>
        <v>105.34193423000001</v>
      </c>
      <c r="Q205" s="603">
        <f t="shared" si="158"/>
        <v>106.67791667</v>
      </c>
      <c r="R205" s="603">
        <f t="shared" si="158"/>
        <v>107.88906193</v>
      </c>
      <c r="S205" s="603">
        <f t="shared" si="158"/>
        <v>108.89442528999999</v>
      </c>
      <c r="T205" s="603">
        <f t="shared" si="158"/>
        <v>109.73897732</v>
      </c>
      <c r="U205" s="603">
        <f t="shared" si="158"/>
        <v>110.64030295000001</v>
      </c>
      <c r="V205" s="603">
        <f t="shared" si="158"/>
        <v>111.48841116</v>
      </c>
      <c r="W205" s="603">
        <f t="shared" si="158"/>
        <v>112.31305173</v>
      </c>
      <c r="X205" s="603">
        <f t="shared" si="158"/>
        <v>113.10114916000001</v>
      </c>
      <c r="Y205" s="603">
        <f t="shared" si="158"/>
        <v>113.83342760000001</v>
      </c>
      <c r="Z205" s="603">
        <f t="shared" si="158"/>
        <v>114.54869142</v>
      </c>
      <c r="AA205" s="603">
        <f t="shared" si="158"/>
        <v>114.88154322399998</v>
      </c>
      <c r="AB205" s="603">
        <f t="shared" si="158"/>
        <v>115.21986119900001</v>
      </c>
      <c r="AC205" s="603">
        <f t="shared" si="158"/>
        <v>115.54754826300001</v>
      </c>
      <c r="AD205" s="603">
        <f t="shared" si="158"/>
        <v>115.86331078799999</v>
      </c>
      <c r="AE205" s="603">
        <f t="shared" si="158"/>
        <v>116.17181221199999</v>
      </c>
      <c r="AF205" s="603">
        <f t="shared" si="158"/>
        <v>116.46271155700001</v>
      </c>
      <c r="AG205" s="603">
        <f t="shared" si="158"/>
        <v>116.72995766099999</v>
      </c>
      <c r="AH205" s="603">
        <f t="shared" si="158"/>
        <v>116.97903681599999</v>
      </c>
      <c r="AI205" s="603">
        <f t="shared" si="158"/>
        <v>117.21903077100001</v>
      </c>
      <c r="AJ205" s="603">
        <f t="shared" si="158"/>
        <v>117.44513562499999</v>
      </c>
      <c r="AK205" s="603">
        <f t="shared" si="158"/>
        <v>117.651782611</v>
      </c>
      <c r="AL205" s="603">
        <f t="shared" si="158"/>
        <v>117.77762231200001</v>
      </c>
      <c r="AM205" s="603">
        <f t="shared" si="158"/>
        <v>117.89948703100001</v>
      </c>
      <c r="AN205" s="603">
        <f t="shared" si="158"/>
        <v>118.020728779</v>
      </c>
      <c r="AO205" s="603">
        <f t="shared" si="158"/>
        <v>118.138772254</v>
      </c>
      <c r="AP205" s="603">
        <f t="shared" si="158"/>
        <v>118.25847254300001</v>
      </c>
      <c r="AQ205" s="603">
        <f t="shared" si="158"/>
        <v>118.378363463</v>
      </c>
      <c r="AR205" s="603">
        <f t="shared" si="158"/>
        <v>118.49817515500001</v>
      </c>
      <c r="AS205" s="603">
        <f t="shared" si="158"/>
        <v>118.61100067300001</v>
      </c>
      <c r="AT205" s="603">
        <f t="shared" si="158"/>
        <v>118.718280177</v>
      </c>
      <c r="AU205" s="603">
        <f t="shared" si="158"/>
        <v>118.82571619400001</v>
      </c>
      <c r="AV205" s="603">
        <f t="shared" si="158"/>
        <v>118.930219866</v>
      </c>
      <c r="AW205" s="603">
        <f t="shared" si="158"/>
        <v>119.03330732200001</v>
      </c>
      <c r="AX205" s="603">
        <f t="shared" si="158"/>
        <v>119.13690603799998</v>
      </c>
      <c r="AY205" s="603">
        <f t="shared" si="158"/>
        <v>119.24058631199998</v>
      </c>
      <c r="AZ205" s="603">
        <f t="shared" si="158"/>
        <v>119.346521327</v>
      </c>
      <c r="BA205" s="603">
        <f t="shared" si="158"/>
        <v>119.455076715</v>
      </c>
      <c r="BB205" s="603">
        <f t="shared" si="158"/>
        <v>119.565960077</v>
      </c>
      <c r="BC205" s="603">
        <f t="shared" si="158"/>
        <v>119.677096518</v>
      </c>
      <c r="BD205" s="603">
        <f t="shared" si="158"/>
        <v>119.79134207499999</v>
      </c>
      <c r="BE205" s="603">
        <f t="shared" si="158"/>
        <v>119.907764563</v>
      </c>
      <c r="BF205" s="603">
        <f t="shared" si="158"/>
        <v>120.026829193</v>
      </c>
      <c r="BG205" s="603">
        <f t="shared" si="158"/>
        <v>120.150983031</v>
      </c>
      <c r="BH205" s="603">
        <f t="shared" si="158"/>
        <v>120.279620404</v>
      </c>
      <c r="BI205" s="603">
        <f t="shared" si="158"/>
        <v>120.413061111</v>
      </c>
      <c r="BJ205" s="603">
        <f t="shared" si="158"/>
        <v>120.549574127</v>
      </c>
      <c r="BK205" s="603">
        <f t="shared" si="158"/>
        <v>120.68977197800001</v>
      </c>
      <c r="BL205" s="603">
        <f t="shared" si="158"/>
        <v>120.83343532399999</v>
      </c>
      <c r="BM205" s="603">
        <f t="shared" si="158"/>
        <v>120.98168680699999</v>
      </c>
      <c r="BN205" s="603">
        <f t="shared" si="158"/>
        <v>121.13602449699998</v>
      </c>
      <c r="BO205" s="603">
        <f t="shared" si="158"/>
        <v>121.295620189</v>
      </c>
      <c r="BP205" s="603">
        <f t="shared" si="158"/>
        <v>121.462022221</v>
      </c>
      <c r="BQ205" s="603">
        <f t="shared" si="158"/>
        <v>121.63416053999998</v>
      </c>
      <c r="BR205" s="603">
        <f t="shared" si="158"/>
        <v>121.81201167500001</v>
      </c>
      <c r="BS205" s="603">
        <f t="shared" si="158"/>
        <v>121.992640647</v>
      </c>
      <c r="BT205" s="603">
        <f t="shared" ref="BT205:CI205" si="159">BT208+BT210+BT220+BT266</f>
        <v>122.17698489499999</v>
      </c>
      <c r="BU205" s="603">
        <f t="shared" si="159"/>
        <v>122.36457591699998</v>
      </c>
      <c r="BV205" s="603">
        <f t="shared" si="159"/>
        <v>122.556218211</v>
      </c>
      <c r="BW205" s="603">
        <f t="shared" si="159"/>
        <v>122.748797591</v>
      </c>
      <c r="BX205" s="603">
        <f t="shared" si="159"/>
        <v>122.94364222199999</v>
      </c>
      <c r="BY205" s="603">
        <f t="shared" si="159"/>
        <v>123.140533108</v>
      </c>
      <c r="BZ205" s="603">
        <f t="shared" si="159"/>
        <v>123.34001567000001</v>
      </c>
      <c r="CA205" s="603">
        <f t="shared" si="159"/>
        <v>123.54053036099999</v>
      </c>
      <c r="CB205" s="603">
        <f t="shared" si="159"/>
        <v>123.74230633699999</v>
      </c>
      <c r="CC205" s="603">
        <f t="shared" si="159"/>
        <v>123.943081392</v>
      </c>
      <c r="CD205" s="603">
        <f t="shared" si="159"/>
        <v>124.14457142500001</v>
      </c>
      <c r="CE205" s="603">
        <f t="shared" si="159"/>
        <v>124.34503897499999</v>
      </c>
      <c r="CF205" s="603">
        <f t="shared" si="159"/>
        <v>124.54443453299999</v>
      </c>
      <c r="CG205" s="603">
        <f t="shared" si="159"/>
        <v>124.741690304</v>
      </c>
      <c r="CH205" s="603">
        <f t="shared" si="159"/>
        <v>124.860460225</v>
      </c>
      <c r="CI205" s="603">
        <f t="shared" si="159"/>
        <v>124.976825886</v>
      </c>
      <c r="CJ205" s="1410"/>
      <c r="CK205" s="605"/>
    </row>
    <row r="206" spans="1:89" s="64" customFormat="1" x14ac:dyDescent="0.35">
      <c r="A206" s="58"/>
      <c r="B206" s="904" t="s">
        <v>306</v>
      </c>
      <c r="C206" s="905" t="s">
        <v>548</v>
      </c>
      <c r="D206" s="906" t="s">
        <v>82</v>
      </c>
      <c r="E206" s="907" t="s">
        <v>305</v>
      </c>
      <c r="F206" s="908">
        <v>2</v>
      </c>
      <c r="G206" s="1102"/>
      <c r="H206" s="1102"/>
      <c r="I206" s="1102"/>
      <c r="J206" s="1102"/>
      <c r="K206" s="1102"/>
      <c r="L206" s="1102"/>
      <c r="M206" s="1103"/>
      <c r="N206" s="1103"/>
      <c r="O206" s="1103"/>
      <c r="P206" s="1103"/>
      <c r="Q206" s="1103"/>
      <c r="R206" s="1103"/>
      <c r="S206" s="1103"/>
      <c r="T206" s="1103"/>
      <c r="U206" s="1103"/>
      <c r="V206" s="1103"/>
      <c r="W206" s="1103"/>
      <c r="X206" s="1103"/>
      <c r="Y206" s="1103"/>
      <c r="Z206" s="1103"/>
      <c r="AA206" s="1103"/>
      <c r="AB206" s="1103"/>
      <c r="AC206" s="1103"/>
      <c r="AD206" s="1103"/>
      <c r="AE206" s="1103"/>
      <c r="AF206" s="1103"/>
      <c r="AG206" s="1103"/>
      <c r="AH206" s="1103"/>
      <c r="AI206" s="1103"/>
      <c r="AJ206" s="1103"/>
      <c r="AK206" s="1103"/>
      <c r="AL206" s="1103"/>
      <c r="AM206" s="1103"/>
      <c r="AN206" s="1103"/>
      <c r="AO206" s="1103"/>
      <c r="AP206" s="1103"/>
      <c r="AQ206" s="1103"/>
      <c r="AR206" s="1103"/>
      <c r="AS206" s="1103"/>
      <c r="AT206" s="1103"/>
      <c r="AU206" s="1103"/>
      <c r="AV206" s="1103"/>
      <c r="AW206" s="1103"/>
      <c r="AX206" s="1103"/>
      <c r="AY206" s="1103"/>
      <c r="AZ206" s="1103"/>
      <c r="BA206" s="1103"/>
      <c r="BB206" s="1103"/>
      <c r="BC206" s="1103"/>
      <c r="BD206" s="1103"/>
      <c r="BE206" s="1103"/>
      <c r="BF206" s="1103"/>
      <c r="BG206" s="1103"/>
      <c r="BH206" s="1103"/>
      <c r="BI206" s="1103"/>
      <c r="BJ206" s="1103"/>
      <c r="BK206" s="1103"/>
      <c r="BL206" s="1103"/>
      <c r="BM206" s="1103"/>
      <c r="BN206" s="1103"/>
      <c r="BO206" s="1103"/>
      <c r="BP206" s="1103"/>
      <c r="BQ206" s="1103"/>
      <c r="BR206" s="1103"/>
      <c r="BS206" s="1103"/>
      <c r="BT206" s="1103"/>
      <c r="BU206" s="1103"/>
      <c r="BV206" s="1103"/>
      <c r="BW206" s="1103"/>
      <c r="BX206" s="1103"/>
      <c r="BY206" s="1103"/>
      <c r="BZ206" s="1103"/>
      <c r="CA206" s="1103"/>
      <c r="CB206" s="1103"/>
      <c r="CC206" s="1103"/>
      <c r="CD206" s="1103"/>
      <c r="CE206" s="1103"/>
      <c r="CF206" s="1103"/>
      <c r="CG206" s="1103"/>
      <c r="CH206" s="1103"/>
      <c r="CI206" s="1104"/>
      <c r="CJ206" s="1410"/>
      <c r="CK206" s="605"/>
    </row>
    <row r="207" spans="1:89" s="64" customFormat="1" x14ac:dyDescent="0.35">
      <c r="A207" s="58"/>
      <c r="B207" s="904" t="s">
        <v>308</v>
      </c>
      <c r="C207" s="905" t="s">
        <v>309</v>
      </c>
      <c r="D207" s="906" t="s">
        <v>82</v>
      </c>
      <c r="E207" s="907" t="s">
        <v>305</v>
      </c>
      <c r="F207" s="908">
        <v>2</v>
      </c>
      <c r="G207" s="611"/>
      <c r="H207" s="611"/>
      <c r="I207" s="611"/>
      <c r="J207" s="611"/>
      <c r="K207" s="611"/>
      <c r="L207" s="611"/>
      <c r="M207" s="612"/>
      <c r="N207" s="612"/>
      <c r="O207" s="612"/>
      <c r="P207" s="612"/>
      <c r="Q207" s="612"/>
      <c r="R207" s="612"/>
      <c r="S207" s="612"/>
      <c r="T207" s="612"/>
      <c r="U207" s="612"/>
      <c r="V207" s="612"/>
      <c r="W207" s="612"/>
      <c r="X207" s="612"/>
      <c r="Y207" s="612"/>
      <c r="Z207" s="612"/>
      <c r="AA207" s="612"/>
      <c r="AB207" s="612"/>
      <c r="AC207" s="612"/>
      <c r="AD207" s="612"/>
      <c r="AE207" s="612"/>
      <c r="AF207" s="612"/>
      <c r="AG207" s="612"/>
      <c r="AH207" s="612"/>
      <c r="AI207" s="612"/>
      <c r="AJ207" s="612"/>
      <c r="AK207" s="612"/>
      <c r="AL207" s="612"/>
      <c r="AM207" s="612"/>
      <c r="AN207" s="612"/>
      <c r="AO207" s="612"/>
      <c r="AP207" s="612"/>
      <c r="AQ207" s="612"/>
      <c r="AR207" s="612"/>
      <c r="AS207" s="612"/>
      <c r="AT207" s="612"/>
      <c r="AU207" s="612"/>
      <c r="AV207" s="612"/>
      <c r="AW207" s="612"/>
      <c r="AX207" s="612"/>
      <c r="AY207" s="612"/>
      <c r="AZ207" s="612"/>
      <c r="BA207" s="612"/>
      <c r="BB207" s="612"/>
      <c r="BC207" s="612"/>
      <c r="BD207" s="612"/>
      <c r="BE207" s="612"/>
      <c r="BF207" s="612"/>
      <c r="BG207" s="612"/>
      <c r="BH207" s="612"/>
      <c r="BI207" s="612"/>
      <c r="BJ207" s="612"/>
      <c r="BK207" s="612"/>
      <c r="BL207" s="612"/>
      <c r="BM207" s="612"/>
      <c r="BN207" s="612"/>
      <c r="BO207" s="612"/>
      <c r="BP207" s="612"/>
      <c r="BQ207" s="612"/>
      <c r="BR207" s="612"/>
      <c r="BS207" s="612"/>
      <c r="BT207" s="612"/>
      <c r="BU207" s="612"/>
      <c r="BV207" s="612"/>
      <c r="BW207" s="612"/>
      <c r="BX207" s="612"/>
      <c r="BY207" s="612"/>
      <c r="BZ207" s="612"/>
      <c r="CA207" s="612"/>
      <c r="CB207" s="612"/>
      <c r="CC207" s="612"/>
      <c r="CD207" s="612"/>
      <c r="CE207" s="612"/>
      <c r="CF207" s="612"/>
      <c r="CG207" s="612"/>
      <c r="CH207" s="612"/>
      <c r="CI207" s="613"/>
      <c r="CJ207" s="1410"/>
      <c r="CK207" s="605"/>
    </row>
    <row r="208" spans="1:89" s="64" customFormat="1" x14ac:dyDescent="0.35">
      <c r="A208" s="58"/>
      <c r="B208" s="904" t="s">
        <v>310</v>
      </c>
      <c r="C208" s="905" t="s">
        <v>311</v>
      </c>
      <c r="D208" s="906" t="s">
        <v>82</v>
      </c>
      <c r="E208" s="907" t="s">
        <v>305</v>
      </c>
      <c r="F208" s="908">
        <v>2</v>
      </c>
      <c r="G208" s="611">
        <v>0.06</v>
      </c>
      <c r="H208" s="611">
        <v>0.06</v>
      </c>
      <c r="I208" s="611">
        <v>0.06</v>
      </c>
      <c r="J208" s="611">
        <v>0.06</v>
      </c>
      <c r="K208" s="611">
        <v>0.06</v>
      </c>
      <c r="L208" s="611">
        <v>0.06</v>
      </c>
      <c r="M208" s="612">
        <v>0.06</v>
      </c>
      <c r="N208" s="612">
        <v>0.06</v>
      </c>
      <c r="O208" s="612">
        <v>0.06</v>
      </c>
      <c r="P208" s="612">
        <v>0.06</v>
      </c>
      <c r="Q208" s="612">
        <v>0.06</v>
      </c>
      <c r="R208" s="612">
        <v>0.06</v>
      </c>
      <c r="S208" s="612">
        <v>0.06</v>
      </c>
      <c r="T208" s="612">
        <v>0.06</v>
      </c>
      <c r="U208" s="612">
        <v>0.06</v>
      </c>
      <c r="V208" s="612">
        <v>0.06</v>
      </c>
      <c r="W208" s="612">
        <v>0.06</v>
      </c>
      <c r="X208" s="612">
        <v>0.06</v>
      </c>
      <c r="Y208" s="612">
        <v>0.06</v>
      </c>
      <c r="Z208" s="612">
        <v>0.06</v>
      </c>
      <c r="AA208" s="612">
        <v>0.06</v>
      </c>
      <c r="AB208" s="612">
        <v>0.06</v>
      </c>
      <c r="AC208" s="612">
        <v>0.06</v>
      </c>
      <c r="AD208" s="612">
        <v>0.06</v>
      </c>
      <c r="AE208" s="612">
        <v>0.06</v>
      </c>
      <c r="AF208" s="612">
        <v>0.06</v>
      </c>
      <c r="AG208" s="612">
        <v>0.06</v>
      </c>
      <c r="AH208" s="612">
        <v>0.06</v>
      </c>
      <c r="AI208" s="612">
        <v>0.06</v>
      </c>
      <c r="AJ208" s="612">
        <v>0.06</v>
      </c>
      <c r="AK208" s="612">
        <v>0.06</v>
      </c>
      <c r="AL208" s="612">
        <v>0.06</v>
      </c>
      <c r="AM208" s="612">
        <v>0.06</v>
      </c>
      <c r="AN208" s="612">
        <v>0.06</v>
      </c>
      <c r="AO208" s="612">
        <v>0.06</v>
      </c>
      <c r="AP208" s="612">
        <v>0.06</v>
      </c>
      <c r="AQ208" s="612">
        <v>0.06</v>
      </c>
      <c r="AR208" s="612">
        <v>0.06</v>
      </c>
      <c r="AS208" s="612">
        <v>0.06</v>
      </c>
      <c r="AT208" s="612">
        <v>0.06</v>
      </c>
      <c r="AU208" s="612">
        <v>0.06</v>
      </c>
      <c r="AV208" s="612">
        <v>0.06</v>
      </c>
      <c r="AW208" s="612">
        <v>0.06</v>
      </c>
      <c r="AX208" s="612">
        <v>0.06</v>
      </c>
      <c r="AY208" s="612">
        <v>0.06</v>
      </c>
      <c r="AZ208" s="612">
        <v>0.06</v>
      </c>
      <c r="BA208" s="612">
        <v>0.06</v>
      </c>
      <c r="BB208" s="612">
        <v>0.06</v>
      </c>
      <c r="BC208" s="612">
        <v>0.06</v>
      </c>
      <c r="BD208" s="612">
        <v>0.06</v>
      </c>
      <c r="BE208" s="612">
        <v>0.06</v>
      </c>
      <c r="BF208" s="612">
        <v>0.06</v>
      </c>
      <c r="BG208" s="612">
        <v>0.06</v>
      </c>
      <c r="BH208" s="612">
        <v>0.06</v>
      </c>
      <c r="BI208" s="612">
        <v>0.06</v>
      </c>
      <c r="BJ208" s="612">
        <v>0.06</v>
      </c>
      <c r="BK208" s="612">
        <v>0.06</v>
      </c>
      <c r="BL208" s="612">
        <v>0.06</v>
      </c>
      <c r="BM208" s="612">
        <v>0.06</v>
      </c>
      <c r="BN208" s="612">
        <v>0.06</v>
      </c>
      <c r="BO208" s="612">
        <v>0.06</v>
      </c>
      <c r="BP208" s="612">
        <v>0.06</v>
      </c>
      <c r="BQ208" s="612">
        <v>0.06</v>
      </c>
      <c r="BR208" s="612">
        <v>0.06</v>
      </c>
      <c r="BS208" s="612">
        <v>0.06</v>
      </c>
      <c r="BT208" s="612">
        <v>0.06</v>
      </c>
      <c r="BU208" s="612">
        <v>0.06</v>
      </c>
      <c r="BV208" s="612">
        <v>0.06</v>
      </c>
      <c r="BW208" s="612">
        <v>0.06</v>
      </c>
      <c r="BX208" s="612">
        <v>0.06</v>
      </c>
      <c r="BY208" s="612">
        <v>0.06</v>
      </c>
      <c r="BZ208" s="612">
        <v>0.06</v>
      </c>
      <c r="CA208" s="612">
        <v>0.06</v>
      </c>
      <c r="CB208" s="612">
        <v>0.06</v>
      </c>
      <c r="CC208" s="612">
        <v>0.06</v>
      </c>
      <c r="CD208" s="612">
        <v>0.06</v>
      </c>
      <c r="CE208" s="612">
        <v>0.06</v>
      </c>
      <c r="CF208" s="612">
        <v>0.06</v>
      </c>
      <c r="CG208" s="612">
        <v>0.06</v>
      </c>
      <c r="CH208" s="612">
        <v>0.06</v>
      </c>
      <c r="CI208" s="612">
        <v>0.06</v>
      </c>
      <c r="CJ208" s="1410"/>
      <c r="CK208" s="605"/>
    </row>
    <row r="209" spans="1:89" s="64" customFormat="1" x14ac:dyDescent="0.35">
      <c r="A209" s="58"/>
      <c r="B209" s="909" t="s">
        <v>312</v>
      </c>
      <c r="C209" s="905" t="s">
        <v>313</v>
      </c>
      <c r="D209" s="906" t="s">
        <v>82</v>
      </c>
      <c r="E209" s="907" t="s">
        <v>305</v>
      </c>
      <c r="F209" s="908">
        <v>2</v>
      </c>
      <c r="G209" s="611"/>
      <c r="H209" s="611"/>
      <c r="I209" s="611"/>
      <c r="J209" s="611"/>
      <c r="K209" s="611"/>
      <c r="L209" s="611"/>
      <c r="M209" s="612"/>
      <c r="N209" s="612"/>
      <c r="O209" s="612"/>
      <c r="P209" s="612"/>
      <c r="Q209" s="612"/>
      <c r="R209" s="612"/>
      <c r="S209" s="612"/>
      <c r="T209" s="612"/>
      <c r="U209" s="612"/>
      <c r="V209" s="612"/>
      <c r="W209" s="612"/>
      <c r="X209" s="612"/>
      <c r="Y209" s="612"/>
      <c r="Z209" s="612"/>
      <c r="AA209" s="612"/>
      <c r="AB209" s="612"/>
      <c r="AC209" s="612"/>
      <c r="AD209" s="612"/>
      <c r="AE209" s="612"/>
      <c r="AF209" s="612"/>
      <c r="AG209" s="612"/>
      <c r="AH209" s="612"/>
      <c r="AI209" s="612"/>
      <c r="AJ209" s="612"/>
      <c r="AK209" s="612"/>
      <c r="AL209" s="612"/>
      <c r="AM209" s="612"/>
      <c r="AN209" s="612"/>
      <c r="AO209" s="612"/>
      <c r="AP209" s="612"/>
      <c r="AQ209" s="612"/>
      <c r="AR209" s="612"/>
      <c r="AS209" s="612"/>
      <c r="AT209" s="612"/>
      <c r="AU209" s="612"/>
      <c r="AV209" s="612"/>
      <c r="AW209" s="612"/>
      <c r="AX209" s="612"/>
      <c r="AY209" s="612"/>
      <c r="AZ209" s="612"/>
      <c r="BA209" s="612"/>
      <c r="BB209" s="612"/>
      <c r="BC209" s="612"/>
      <c r="BD209" s="612"/>
      <c r="BE209" s="612"/>
      <c r="BF209" s="612"/>
      <c r="BG209" s="612"/>
      <c r="BH209" s="612"/>
      <c r="BI209" s="612"/>
      <c r="BJ209" s="612"/>
      <c r="BK209" s="612"/>
      <c r="BL209" s="612"/>
      <c r="BM209" s="612"/>
      <c r="BN209" s="612"/>
      <c r="BO209" s="612"/>
      <c r="BP209" s="612"/>
      <c r="BQ209" s="612"/>
      <c r="BR209" s="612"/>
      <c r="BS209" s="612"/>
      <c r="BT209" s="612"/>
      <c r="BU209" s="612"/>
      <c r="BV209" s="612"/>
      <c r="BW209" s="612"/>
      <c r="BX209" s="612"/>
      <c r="BY209" s="612"/>
      <c r="BZ209" s="612"/>
      <c r="CA209" s="612"/>
      <c r="CB209" s="612"/>
      <c r="CC209" s="612"/>
      <c r="CD209" s="612"/>
      <c r="CE209" s="612"/>
      <c r="CF209" s="612"/>
      <c r="CG209" s="612"/>
      <c r="CH209" s="612"/>
      <c r="CI209" s="612"/>
      <c r="CJ209" s="1410"/>
      <c r="CK209" s="605"/>
    </row>
    <row r="210" spans="1:89" s="64" customFormat="1" x14ac:dyDescent="0.35">
      <c r="A210" s="58"/>
      <c r="B210" s="909" t="s">
        <v>314</v>
      </c>
      <c r="C210" s="905" t="s">
        <v>315</v>
      </c>
      <c r="D210" s="906" t="s">
        <v>82</v>
      </c>
      <c r="E210" s="907" t="s">
        <v>305</v>
      </c>
      <c r="F210" s="908">
        <v>2</v>
      </c>
      <c r="G210" s="611">
        <v>-0.62</v>
      </c>
      <c r="H210" s="611">
        <v>-0.62</v>
      </c>
      <c r="I210" s="611">
        <v>-0.62</v>
      </c>
      <c r="J210" s="611">
        <v>-0.62</v>
      </c>
      <c r="K210" s="611">
        <v>-0.62</v>
      </c>
      <c r="L210" s="611">
        <v>-0.62</v>
      </c>
      <c r="M210" s="612">
        <v>-0.62</v>
      </c>
      <c r="N210" s="612">
        <v>-0.62</v>
      </c>
      <c r="O210" s="612">
        <v>-0.62</v>
      </c>
      <c r="P210" s="612">
        <v>-0.62</v>
      </c>
      <c r="Q210" s="612">
        <v>-0.62</v>
      </c>
      <c r="R210" s="612">
        <v>-0.62</v>
      </c>
      <c r="S210" s="612">
        <v>-0.62</v>
      </c>
      <c r="T210" s="612">
        <v>-0.62</v>
      </c>
      <c r="U210" s="612">
        <v>-0.62</v>
      </c>
      <c r="V210" s="612">
        <v>-0.62</v>
      </c>
      <c r="W210" s="612">
        <v>-0.62</v>
      </c>
      <c r="X210" s="612">
        <v>-0.62</v>
      </c>
      <c r="Y210" s="612">
        <v>-0.62</v>
      </c>
      <c r="Z210" s="612">
        <v>-0.62</v>
      </c>
      <c r="AA210" s="612">
        <v>-0.62</v>
      </c>
      <c r="AB210" s="612">
        <v>-0.62</v>
      </c>
      <c r="AC210" s="612">
        <v>-0.62</v>
      </c>
      <c r="AD210" s="612">
        <v>-0.62</v>
      </c>
      <c r="AE210" s="612">
        <v>-0.62</v>
      </c>
      <c r="AF210" s="612">
        <v>-0.62</v>
      </c>
      <c r="AG210" s="612">
        <v>-0.62</v>
      </c>
      <c r="AH210" s="612">
        <v>-0.62</v>
      </c>
      <c r="AI210" s="612">
        <v>-0.62</v>
      </c>
      <c r="AJ210" s="612">
        <v>-0.62</v>
      </c>
      <c r="AK210" s="612">
        <v>-0.62</v>
      </c>
      <c r="AL210" s="612">
        <v>-0.62</v>
      </c>
      <c r="AM210" s="612">
        <v>-0.62</v>
      </c>
      <c r="AN210" s="612">
        <v>-0.62</v>
      </c>
      <c r="AO210" s="612">
        <v>-0.62</v>
      </c>
      <c r="AP210" s="612">
        <v>-0.62</v>
      </c>
      <c r="AQ210" s="612">
        <v>-0.62</v>
      </c>
      <c r="AR210" s="612">
        <v>-0.62</v>
      </c>
      <c r="AS210" s="612">
        <v>-0.62</v>
      </c>
      <c r="AT210" s="612">
        <v>-0.62</v>
      </c>
      <c r="AU210" s="612">
        <v>-0.62</v>
      </c>
      <c r="AV210" s="612">
        <v>-0.62</v>
      </c>
      <c r="AW210" s="612">
        <v>-0.62</v>
      </c>
      <c r="AX210" s="612">
        <v>-0.62</v>
      </c>
      <c r="AY210" s="612">
        <v>-0.62</v>
      </c>
      <c r="AZ210" s="612">
        <v>-0.62</v>
      </c>
      <c r="BA210" s="612">
        <v>-0.62</v>
      </c>
      <c r="BB210" s="612">
        <v>-0.62</v>
      </c>
      <c r="BC210" s="612">
        <v>-0.62</v>
      </c>
      <c r="BD210" s="612">
        <v>-0.62</v>
      </c>
      <c r="BE210" s="612">
        <v>-0.62</v>
      </c>
      <c r="BF210" s="612">
        <v>-0.62</v>
      </c>
      <c r="BG210" s="612">
        <v>-0.62</v>
      </c>
      <c r="BH210" s="612">
        <v>-0.62</v>
      </c>
      <c r="BI210" s="612">
        <v>-0.62</v>
      </c>
      <c r="BJ210" s="612">
        <v>-0.62</v>
      </c>
      <c r="BK210" s="612">
        <v>-0.62</v>
      </c>
      <c r="BL210" s="612">
        <v>-0.62</v>
      </c>
      <c r="BM210" s="612">
        <v>-0.62</v>
      </c>
      <c r="BN210" s="612">
        <v>-0.62</v>
      </c>
      <c r="BO210" s="612">
        <v>-0.62</v>
      </c>
      <c r="BP210" s="612">
        <v>-0.62</v>
      </c>
      <c r="BQ210" s="612">
        <v>-0.62</v>
      </c>
      <c r="BR210" s="612">
        <v>-0.62</v>
      </c>
      <c r="BS210" s="612">
        <v>-0.62</v>
      </c>
      <c r="BT210" s="612">
        <v>-0.62</v>
      </c>
      <c r="BU210" s="612">
        <v>-0.62</v>
      </c>
      <c r="BV210" s="612">
        <v>-0.62</v>
      </c>
      <c r="BW210" s="612">
        <v>-0.62</v>
      </c>
      <c r="BX210" s="612">
        <v>-0.62</v>
      </c>
      <c r="BY210" s="612">
        <v>-0.62</v>
      </c>
      <c r="BZ210" s="612">
        <v>-0.62</v>
      </c>
      <c r="CA210" s="612">
        <v>-0.62</v>
      </c>
      <c r="CB210" s="612">
        <v>-0.62</v>
      </c>
      <c r="CC210" s="612">
        <v>-0.62</v>
      </c>
      <c r="CD210" s="612">
        <v>-0.62</v>
      </c>
      <c r="CE210" s="612">
        <v>-0.62</v>
      </c>
      <c r="CF210" s="612">
        <v>-0.62</v>
      </c>
      <c r="CG210" s="612">
        <v>-0.62</v>
      </c>
      <c r="CH210" s="612">
        <v>-0.62</v>
      </c>
      <c r="CI210" s="612">
        <v>-0.62</v>
      </c>
      <c r="CJ210" s="1410"/>
      <c r="CK210" s="605"/>
    </row>
    <row r="211" spans="1:89" s="64" customFormat="1" x14ac:dyDescent="0.35">
      <c r="A211" s="58"/>
      <c r="B211" s="909" t="s">
        <v>316</v>
      </c>
      <c r="C211" s="905" t="s">
        <v>317</v>
      </c>
      <c r="D211" s="906" t="s">
        <v>82</v>
      </c>
      <c r="E211" s="907" t="s">
        <v>305</v>
      </c>
      <c r="F211" s="908">
        <v>2</v>
      </c>
      <c r="G211" s="611">
        <v>138.1</v>
      </c>
      <c r="H211" s="611">
        <v>138.1</v>
      </c>
      <c r="I211" s="611">
        <v>138.1</v>
      </c>
      <c r="J211" s="611">
        <v>138.1</v>
      </c>
      <c r="K211" s="611">
        <v>138.1</v>
      </c>
      <c r="L211" s="611">
        <v>138.1</v>
      </c>
      <c r="M211" s="615">
        <v>138.1</v>
      </c>
      <c r="N211" s="615">
        <v>138.1</v>
      </c>
      <c r="O211" s="615">
        <v>138.1</v>
      </c>
      <c r="P211" s="615">
        <v>138.1</v>
      </c>
      <c r="Q211" s="615">
        <v>138.1</v>
      </c>
      <c r="R211" s="615">
        <v>138.1</v>
      </c>
      <c r="S211" s="615">
        <v>138.1</v>
      </c>
      <c r="T211" s="615">
        <v>138.1</v>
      </c>
      <c r="U211" s="615">
        <v>138.1</v>
      </c>
      <c r="V211" s="615">
        <v>138.1</v>
      </c>
      <c r="W211" s="615">
        <v>138.1</v>
      </c>
      <c r="X211" s="615">
        <v>138.1</v>
      </c>
      <c r="Y211" s="615">
        <v>138.1</v>
      </c>
      <c r="Z211" s="615">
        <v>138.1</v>
      </c>
      <c r="AA211" s="615">
        <v>138.1</v>
      </c>
      <c r="AB211" s="615">
        <v>138.1</v>
      </c>
      <c r="AC211" s="615">
        <v>138.1</v>
      </c>
      <c r="AD211" s="615">
        <v>138.1</v>
      </c>
      <c r="AE211" s="615">
        <v>138.1</v>
      </c>
      <c r="AF211" s="615">
        <v>138.1</v>
      </c>
      <c r="AG211" s="615">
        <v>138.1</v>
      </c>
      <c r="AH211" s="615">
        <v>138.1</v>
      </c>
      <c r="AI211" s="615">
        <v>138.1</v>
      </c>
      <c r="AJ211" s="615">
        <v>138.1</v>
      </c>
      <c r="AK211" s="615">
        <v>138.1</v>
      </c>
      <c r="AL211" s="615">
        <v>138.1</v>
      </c>
      <c r="AM211" s="615">
        <v>138.1</v>
      </c>
      <c r="AN211" s="615">
        <v>138.1</v>
      </c>
      <c r="AO211" s="615">
        <v>138.1</v>
      </c>
      <c r="AP211" s="615">
        <v>138.1</v>
      </c>
      <c r="AQ211" s="615">
        <v>138.1</v>
      </c>
      <c r="AR211" s="615">
        <v>138.1</v>
      </c>
      <c r="AS211" s="615">
        <v>138.1</v>
      </c>
      <c r="AT211" s="615">
        <v>138.1</v>
      </c>
      <c r="AU211" s="615">
        <v>138.1</v>
      </c>
      <c r="AV211" s="615">
        <v>138.1</v>
      </c>
      <c r="AW211" s="615">
        <v>138.1</v>
      </c>
      <c r="AX211" s="615">
        <v>138.1</v>
      </c>
      <c r="AY211" s="615">
        <v>138.1</v>
      </c>
      <c r="AZ211" s="615">
        <v>138.1</v>
      </c>
      <c r="BA211" s="615">
        <v>138.1</v>
      </c>
      <c r="BB211" s="615">
        <v>138.1</v>
      </c>
      <c r="BC211" s="615">
        <v>138.1</v>
      </c>
      <c r="BD211" s="615">
        <v>138.1</v>
      </c>
      <c r="BE211" s="615">
        <v>138.1</v>
      </c>
      <c r="BF211" s="615">
        <v>138.1</v>
      </c>
      <c r="BG211" s="615">
        <v>138.1</v>
      </c>
      <c r="BH211" s="615">
        <v>138.1</v>
      </c>
      <c r="BI211" s="615">
        <v>138.1</v>
      </c>
      <c r="BJ211" s="615">
        <v>138.1</v>
      </c>
      <c r="BK211" s="615">
        <v>138.1</v>
      </c>
      <c r="BL211" s="615">
        <v>138.1</v>
      </c>
      <c r="BM211" s="615">
        <v>138.1</v>
      </c>
      <c r="BN211" s="615">
        <v>138.1</v>
      </c>
      <c r="BO211" s="615">
        <v>138.1</v>
      </c>
      <c r="BP211" s="615">
        <v>138.1</v>
      </c>
      <c r="BQ211" s="615">
        <v>138.1</v>
      </c>
      <c r="BR211" s="615">
        <v>138.1</v>
      </c>
      <c r="BS211" s="615">
        <v>138.1</v>
      </c>
      <c r="BT211" s="615">
        <v>138.1</v>
      </c>
      <c r="BU211" s="615">
        <v>138.1</v>
      </c>
      <c r="BV211" s="615">
        <v>138.1</v>
      </c>
      <c r="BW211" s="615">
        <v>138.1</v>
      </c>
      <c r="BX211" s="615">
        <v>138.1</v>
      </c>
      <c r="BY211" s="615">
        <v>138.1</v>
      </c>
      <c r="BZ211" s="615">
        <v>138.1</v>
      </c>
      <c r="CA211" s="615">
        <v>138.1</v>
      </c>
      <c r="CB211" s="615">
        <v>138.1</v>
      </c>
      <c r="CC211" s="615">
        <v>138.1</v>
      </c>
      <c r="CD211" s="615">
        <v>138.1</v>
      </c>
      <c r="CE211" s="615">
        <v>138.1</v>
      </c>
      <c r="CF211" s="615">
        <v>138.1</v>
      </c>
      <c r="CG211" s="615">
        <v>138.1</v>
      </c>
      <c r="CH211" s="615">
        <v>138.1</v>
      </c>
      <c r="CI211" s="615">
        <v>138.1</v>
      </c>
      <c r="CJ211" s="1410"/>
      <c r="CK211" s="605"/>
    </row>
    <row r="212" spans="1:89" s="64" customFormat="1" x14ac:dyDescent="0.35">
      <c r="A212" s="58"/>
      <c r="B212" s="909" t="s">
        <v>318</v>
      </c>
      <c r="C212" s="910" t="s">
        <v>319</v>
      </c>
      <c r="D212" s="906" t="s">
        <v>320</v>
      </c>
      <c r="E212" s="907" t="s">
        <v>305</v>
      </c>
      <c r="F212" s="908">
        <v>2</v>
      </c>
      <c r="G212" s="618">
        <f>G211+G213</f>
        <v>138.1</v>
      </c>
      <c r="H212" s="618">
        <f t="shared" ref="H212:BS212" si="160">H211+H213</f>
        <v>138.1</v>
      </c>
      <c r="I212" s="618">
        <f t="shared" si="160"/>
        <v>138.1</v>
      </c>
      <c r="J212" s="618">
        <f t="shared" si="160"/>
        <v>138.1</v>
      </c>
      <c r="K212" s="618">
        <f t="shared" si="160"/>
        <v>138.1</v>
      </c>
      <c r="L212" s="618">
        <f t="shared" si="160"/>
        <v>138.1</v>
      </c>
      <c r="M212" s="623">
        <f t="shared" si="160"/>
        <v>128.7478473381295</v>
      </c>
      <c r="N212" s="623">
        <f t="shared" si="160"/>
        <v>128.59994733812951</v>
      </c>
      <c r="O212" s="623">
        <f t="shared" si="160"/>
        <v>128.0920473381295</v>
      </c>
      <c r="P212" s="623">
        <f t="shared" si="160"/>
        <v>127.94414733812951</v>
      </c>
      <c r="Q212" s="623">
        <f t="shared" si="160"/>
        <v>127.7962473381295</v>
      </c>
      <c r="R212" s="623">
        <f t="shared" si="160"/>
        <v>109.63834733812951</v>
      </c>
      <c r="S212" s="623">
        <f t="shared" si="160"/>
        <v>109.4904473381295</v>
      </c>
      <c r="T212" s="623">
        <f t="shared" si="160"/>
        <v>109.34254733812951</v>
      </c>
      <c r="U212" s="623">
        <f t="shared" si="160"/>
        <v>109.1946473381295</v>
      </c>
      <c r="V212" s="623">
        <f t="shared" si="160"/>
        <v>109.04674733812951</v>
      </c>
      <c r="W212" s="623">
        <f t="shared" si="160"/>
        <v>108.8988473381295</v>
      </c>
      <c r="X212" s="623">
        <f t="shared" si="160"/>
        <v>108.75094733812951</v>
      </c>
      <c r="Y212" s="623">
        <f t="shared" si="160"/>
        <v>108.6030473381295</v>
      </c>
      <c r="Z212" s="623">
        <f t="shared" si="160"/>
        <v>108.45514733812951</v>
      </c>
      <c r="AA212" s="623">
        <f t="shared" si="160"/>
        <v>108.3072473381295</v>
      </c>
      <c r="AB212" s="623">
        <f t="shared" si="160"/>
        <v>76.27</v>
      </c>
      <c r="AC212" s="623">
        <f t="shared" si="160"/>
        <v>76.27</v>
      </c>
      <c r="AD212" s="623">
        <f t="shared" si="160"/>
        <v>76.27</v>
      </c>
      <c r="AE212" s="623">
        <f t="shared" si="160"/>
        <v>76.27</v>
      </c>
      <c r="AF212" s="623">
        <f t="shared" si="160"/>
        <v>76.27</v>
      </c>
      <c r="AG212" s="623">
        <f t="shared" si="160"/>
        <v>76.27</v>
      </c>
      <c r="AH212" s="623">
        <f t="shared" si="160"/>
        <v>76.27</v>
      </c>
      <c r="AI212" s="623">
        <f t="shared" si="160"/>
        <v>76.27</v>
      </c>
      <c r="AJ212" s="623">
        <f t="shared" si="160"/>
        <v>76.27</v>
      </c>
      <c r="AK212" s="623">
        <f t="shared" si="160"/>
        <v>76.27</v>
      </c>
      <c r="AL212" s="623">
        <f t="shared" si="160"/>
        <v>76.27</v>
      </c>
      <c r="AM212" s="623">
        <f t="shared" si="160"/>
        <v>76.27</v>
      </c>
      <c r="AN212" s="623">
        <f t="shared" si="160"/>
        <v>76.27</v>
      </c>
      <c r="AO212" s="623">
        <f t="shared" si="160"/>
        <v>76.27</v>
      </c>
      <c r="AP212" s="623">
        <f t="shared" si="160"/>
        <v>76.27</v>
      </c>
      <c r="AQ212" s="623">
        <f t="shared" si="160"/>
        <v>76.27</v>
      </c>
      <c r="AR212" s="623">
        <f t="shared" si="160"/>
        <v>76.27</v>
      </c>
      <c r="AS212" s="623">
        <f t="shared" si="160"/>
        <v>76.27</v>
      </c>
      <c r="AT212" s="623">
        <f t="shared" si="160"/>
        <v>76.27</v>
      </c>
      <c r="AU212" s="623">
        <f t="shared" si="160"/>
        <v>76.27</v>
      </c>
      <c r="AV212" s="623">
        <f t="shared" si="160"/>
        <v>76.27</v>
      </c>
      <c r="AW212" s="623">
        <f t="shared" si="160"/>
        <v>76.27</v>
      </c>
      <c r="AX212" s="623">
        <f t="shared" si="160"/>
        <v>76.27</v>
      </c>
      <c r="AY212" s="623">
        <f t="shared" si="160"/>
        <v>76.27</v>
      </c>
      <c r="AZ212" s="623">
        <f t="shared" si="160"/>
        <v>76.27</v>
      </c>
      <c r="BA212" s="623">
        <f t="shared" si="160"/>
        <v>76.27</v>
      </c>
      <c r="BB212" s="623">
        <f t="shared" si="160"/>
        <v>76.27</v>
      </c>
      <c r="BC212" s="623">
        <f t="shared" si="160"/>
        <v>76.27</v>
      </c>
      <c r="BD212" s="623">
        <f t="shared" si="160"/>
        <v>76.27</v>
      </c>
      <c r="BE212" s="623">
        <f t="shared" si="160"/>
        <v>76.27</v>
      </c>
      <c r="BF212" s="623">
        <f t="shared" si="160"/>
        <v>76.27</v>
      </c>
      <c r="BG212" s="623">
        <f t="shared" si="160"/>
        <v>76.27</v>
      </c>
      <c r="BH212" s="623">
        <f t="shared" si="160"/>
        <v>76.27</v>
      </c>
      <c r="BI212" s="623">
        <f t="shared" si="160"/>
        <v>76.27</v>
      </c>
      <c r="BJ212" s="623">
        <f t="shared" si="160"/>
        <v>76.27</v>
      </c>
      <c r="BK212" s="623">
        <f t="shared" si="160"/>
        <v>76.27</v>
      </c>
      <c r="BL212" s="623">
        <f t="shared" si="160"/>
        <v>76.27</v>
      </c>
      <c r="BM212" s="623">
        <f t="shared" si="160"/>
        <v>76.27</v>
      </c>
      <c r="BN212" s="623">
        <f t="shared" si="160"/>
        <v>76.27</v>
      </c>
      <c r="BO212" s="623">
        <f t="shared" si="160"/>
        <v>76.27</v>
      </c>
      <c r="BP212" s="623">
        <f t="shared" si="160"/>
        <v>76.27</v>
      </c>
      <c r="BQ212" s="623">
        <f t="shared" si="160"/>
        <v>76.27</v>
      </c>
      <c r="BR212" s="623">
        <f t="shared" si="160"/>
        <v>76.27</v>
      </c>
      <c r="BS212" s="623">
        <f t="shared" si="160"/>
        <v>76.27</v>
      </c>
      <c r="BT212" s="623">
        <f t="shared" ref="BT212:CI212" si="161">BT211+BT213</f>
        <v>76.27</v>
      </c>
      <c r="BU212" s="623">
        <f t="shared" si="161"/>
        <v>76.27</v>
      </c>
      <c r="BV212" s="623">
        <f t="shared" si="161"/>
        <v>76.27</v>
      </c>
      <c r="BW212" s="623">
        <f t="shared" si="161"/>
        <v>76.27</v>
      </c>
      <c r="BX212" s="623">
        <f t="shared" si="161"/>
        <v>76.27</v>
      </c>
      <c r="BY212" s="623">
        <f t="shared" si="161"/>
        <v>76.27</v>
      </c>
      <c r="BZ212" s="623">
        <f t="shared" si="161"/>
        <v>76.27</v>
      </c>
      <c r="CA212" s="623">
        <f t="shared" si="161"/>
        <v>76.27</v>
      </c>
      <c r="CB212" s="623">
        <f t="shared" si="161"/>
        <v>76.27</v>
      </c>
      <c r="CC212" s="623">
        <f t="shared" si="161"/>
        <v>76.27</v>
      </c>
      <c r="CD212" s="623">
        <f t="shared" si="161"/>
        <v>76.27</v>
      </c>
      <c r="CE212" s="623">
        <f t="shared" si="161"/>
        <v>76.27</v>
      </c>
      <c r="CF212" s="623">
        <f t="shared" si="161"/>
        <v>76.27</v>
      </c>
      <c r="CG212" s="623">
        <f t="shared" si="161"/>
        <v>76.27</v>
      </c>
      <c r="CH212" s="623">
        <f t="shared" si="161"/>
        <v>76.27</v>
      </c>
      <c r="CI212" s="619">
        <f t="shared" si="161"/>
        <v>76.27</v>
      </c>
      <c r="CJ212" s="1410"/>
      <c r="CK212" s="605"/>
    </row>
    <row r="213" spans="1:89" s="64" customFormat="1" ht="28" x14ac:dyDescent="0.35">
      <c r="A213" s="58"/>
      <c r="B213" s="911" t="s">
        <v>321</v>
      </c>
      <c r="C213" s="912" t="s">
        <v>322</v>
      </c>
      <c r="D213" s="912" t="s">
        <v>323</v>
      </c>
      <c r="E213" s="913" t="s">
        <v>305</v>
      </c>
      <c r="F213" s="908">
        <v>2</v>
      </c>
      <c r="G213" s="618">
        <f>SUM(G214:G219)</f>
        <v>0</v>
      </c>
      <c r="H213" s="618">
        <f t="shared" ref="H213:BS213" si="162">SUM(H214:H219)</f>
        <v>0</v>
      </c>
      <c r="I213" s="618">
        <f t="shared" si="162"/>
        <v>0</v>
      </c>
      <c r="J213" s="618">
        <f t="shared" si="162"/>
        <v>0</v>
      </c>
      <c r="K213" s="618">
        <f t="shared" si="162"/>
        <v>0</v>
      </c>
      <c r="L213" s="618">
        <f t="shared" si="162"/>
        <v>0</v>
      </c>
      <c r="M213" s="623">
        <f t="shared" si="162"/>
        <v>-9.3521526618704893</v>
      </c>
      <c r="N213" s="623">
        <f t="shared" si="162"/>
        <v>-9.500052661870491</v>
      </c>
      <c r="O213" s="623">
        <f t="shared" si="162"/>
        <v>-10.00795266187049</v>
      </c>
      <c r="P213" s="623">
        <f t="shared" si="162"/>
        <v>-10.15585266187049</v>
      </c>
      <c r="Q213" s="623">
        <f t="shared" si="162"/>
        <v>-10.30375266187049</v>
      </c>
      <c r="R213" s="623">
        <f t="shared" si="162"/>
        <v>-28.461652661870492</v>
      </c>
      <c r="S213" s="623">
        <f t="shared" si="162"/>
        <v>-28.609552661870492</v>
      </c>
      <c r="T213" s="623">
        <f t="shared" si="162"/>
        <v>-28.757452661870492</v>
      </c>
      <c r="U213" s="623">
        <f t="shared" si="162"/>
        <v>-28.905352661870491</v>
      </c>
      <c r="V213" s="623">
        <f t="shared" si="162"/>
        <v>-29.053252661870491</v>
      </c>
      <c r="W213" s="623">
        <f t="shared" si="162"/>
        <v>-29.201152661870491</v>
      </c>
      <c r="X213" s="623">
        <f t="shared" si="162"/>
        <v>-29.349052661870491</v>
      </c>
      <c r="Y213" s="623">
        <f t="shared" si="162"/>
        <v>-29.496952661870491</v>
      </c>
      <c r="Z213" s="623">
        <f t="shared" si="162"/>
        <v>-29.644852661870491</v>
      </c>
      <c r="AA213" s="623">
        <f t="shared" si="162"/>
        <v>-29.792752661870491</v>
      </c>
      <c r="AB213" s="623">
        <f t="shared" si="162"/>
        <v>-61.83</v>
      </c>
      <c r="AC213" s="623">
        <f t="shared" si="162"/>
        <v>-61.83</v>
      </c>
      <c r="AD213" s="623">
        <f t="shared" si="162"/>
        <v>-61.83</v>
      </c>
      <c r="AE213" s="623">
        <f t="shared" si="162"/>
        <v>-61.83</v>
      </c>
      <c r="AF213" s="623">
        <f t="shared" si="162"/>
        <v>-61.83</v>
      </c>
      <c r="AG213" s="623">
        <f t="shared" si="162"/>
        <v>-61.83</v>
      </c>
      <c r="AH213" s="623">
        <f t="shared" si="162"/>
        <v>-61.83</v>
      </c>
      <c r="AI213" s="623">
        <f t="shared" si="162"/>
        <v>-61.83</v>
      </c>
      <c r="AJ213" s="623">
        <f t="shared" si="162"/>
        <v>-61.83</v>
      </c>
      <c r="AK213" s="623">
        <f t="shared" si="162"/>
        <v>-61.83</v>
      </c>
      <c r="AL213" s="623">
        <f t="shared" si="162"/>
        <v>-61.83</v>
      </c>
      <c r="AM213" s="623">
        <f t="shared" si="162"/>
        <v>-61.83</v>
      </c>
      <c r="AN213" s="623">
        <f t="shared" si="162"/>
        <v>-61.83</v>
      </c>
      <c r="AO213" s="623">
        <f t="shared" si="162"/>
        <v>-61.83</v>
      </c>
      <c r="AP213" s="623">
        <f t="shared" si="162"/>
        <v>-61.83</v>
      </c>
      <c r="AQ213" s="623">
        <f t="shared" si="162"/>
        <v>-61.83</v>
      </c>
      <c r="AR213" s="623">
        <f t="shared" si="162"/>
        <v>-61.83</v>
      </c>
      <c r="AS213" s="623">
        <f t="shared" si="162"/>
        <v>-61.83</v>
      </c>
      <c r="AT213" s="623">
        <f t="shared" si="162"/>
        <v>-61.83</v>
      </c>
      <c r="AU213" s="623">
        <f t="shared" si="162"/>
        <v>-61.83</v>
      </c>
      <c r="AV213" s="623">
        <f t="shared" si="162"/>
        <v>-61.83</v>
      </c>
      <c r="AW213" s="623">
        <f t="shared" si="162"/>
        <v>-61.83</v>
      </c>
      <c r="AX213" s="623">
        <f t="shared" si="162"/>
        <v>-61.83</v>
      </c>
      <c r="AY213" s="623">
        <f t="shared" si="162"/>
        <v>-61.83</v>
      </c>
      <c r="AZ213" s="623">
        <f t="shared" si="162"/>
        <v>-61.83</v>
      </c>
      <c r="BA213" s="623">
        <f t="shared" si="162"/>
        <v>-61.83</v>
      </c>
      <c r="BB213" s="623">
        <f t="shared" si="162"/>
        <v>-61.83</v>
      </c>
      <c r="BC213" s="623">
        <f t="shared" si="162"/>
        <v>-61.83</v>
      </c>
      <c r="BD213" s="623">
        <f t="shared" si="162"/>
        <v>-61.83</v>
      </c>
      <c r="BE213" s="623">
        <f t="shared" si="162"/>
        <v>-61.83</v>
      </c>
      <c r="BF213" s="623">
        <f t="shared" si="162"/>
        <v>-61.83</v>
      </c>
      <c r="BG213" s="623">
        <f t="shared" si="162"/>
        <v>-61.83</v>
      </c>
      <c r="BH213" s="623">
        <f t="shared" si="162"/>
        <v>-61.83</v>
      </c>
      <c r="BI213" s="623">
        <f t="shared" si="162"/>
        <v>-61.83</v>
      </c>
      <c r="BJ213" s="623">
        <f t="shared" si="162"/>
        <v>-61.83</v>
      </c>
      <c r="BK213" s="623">
        <f t="shared" si="162"/>
        <v>-61.83</v>
      </c>
      <c r="BL213" s="623">
        <f t="shared" si="162"/>
        <v>-61.83</v>
      </c>
      <c r="BM213" s="623">
        <f t="shared" si="162"/>
        <v>-61.83</v>
      </c>
      <c r="BN213" s="623">
        <f t="shared" si="162"/>
        <v>-61.83</v>
      </c>
      <c r="BO213" s="623">
        <f t="shared" si="162"/>
        <v>-61.83</v>
      </c>
      <c r="BP213" s="623">
        <f t="shared" si="162"/>
        <v>-61.83</v>
      </c>
      <c r="BQ213" s="623">
        <f t="shared" si="162"/>
        <v>-61.83</v>
      </c>
      <c r="BR213" s="623">
        <f t="shared" si="162"/>
        <v>-61.83</v>
      </c>
      <c r="BS213" s="623">
        <f t="shared" si="162"/>
        <v>-61.83</v>
      </c>
      <c r="BT213" s="623">
        <f t="shared" ref="BT213:CI213" si="163">SUM(BT214:BT219)</f>
        <v>-61.83</v>
      </c>
      <c r="BU213" s="623">
        <f t="shared" si="163"/>
        <v>-61.83</v>
      </c>
      <c r="BV213" s="623">
        <f t="shared" si="163"/>
        <v>-61.83</v>
      </c>
      <c r="BW213" s="623">
        <f t="shared" si="163"/>
        <v>-61.83</v>
      </c>
      <c r="BX213" s="623">
        <f t="shared" si="163"/>
        <v>-61.83</v>
      </c>
      <c r="BY213" s="623">
        <f t="shared" si="163"/>
        <v>-61.83</v>
      </c>
      <c r="BZ213" s="623">
        <f t="shared" si="163"/>
        <v>-61.83</v>
      </c>
      <c r="CA213" s="623">
        <f t="shared" si="163"/>
        <v>-61.83</v>
      </c>
      <c r="CB213" s="623">
        <f t="shared" si="163"/>
        <v>-61.83</v>
      </c>
      <c r="CC213" s="623">
        <f t="shared" si="163"/>
        <v>-61.83</v>
      </c>
      <c r="CD213" s="623">
        <f t="shared" si="163"/>
        <v>-61.83</v>
      </c>
      <c r="CE213" s="623">
        <f t="shared" si="163"/>
        <v>-61.83</v>
      </c>
      <c r="CF213" s="623">
        <f t="shared" si="163"/>
        <v>-61.83</v>
      </c>
      <c r="CG213" s="623">
        <f t="shared" si="163"/>
        <v>-61.83</v>
      </c>
      <c r="CH213" s="623">
        <f t="shared" si="163"/>
        <v>-61.83</v>
      </c>
      <c r="CI213" s="619">
        <f t="shared" si="163"/>
        <v>-61.83</v>
      </c>
      <c r="CJ213" s="1410"/>
      <c r="CK213" s="605"/>
    </row>
    <row r="214" spans="1:89" s="64" customFormat="1" x14ac:dyDescent="0.35">
      <c r="A214" s="58"/>
      <c r="B214" s="909" t="s">
        <v>324</v>
      </c>
      <c r="C214" s="910" t="s">
        <v>325</v>
      </c>
      <c r="D214" s="906" t="s">
        <v>82</v>
      </c>
      <c r="E214" s="907" t="s">
        <v>305</v>
      </c>
      <c r="F214" s="908">
        <v>2</v>
      </c>
      <c r="G214" s="611"/>
      <c r="H214" s="611"/>
      <c r="I214" s="611"/>
      <c r="J214" s="611"/>
      <c r="K214" s="611"/>
      <c r="L214" s="611"/>
      <c r="M214" s="615">
        <f>M33</f>
        <v>-0.89215266187048803</v>
      </c>
      <c r="N214" s="615">
        <f t="shared" ref="N214:BY214" si="164">N33</f>
        <v>-1.0400526618704899</v>
      </c>
      <c r="O214" s="615">
        <f t="shared" si="164"/>
        <v>-1.1879526618704901</v>
      </c>
      <c r="P214" s="615">
        <f t="shared" si="164"/>
        <v>-1.33585266187049</v>
      </c>
      <c r="Q214" s="615">
        <f t="shared" si="164"/>
        <v>-1.4837526618704899</v>
      </c>
      <c r="R214" s="615">
        <f t="shared" si="164"/>
        <v>-1.6316526618704901</v>
      </c>
      <c r="S214" s="615">
        <f t="shared" si="164"/>
        <v>-1.77955266187049</v>
      </c>
      <c r="T214" s="615">
        <f t="shared" si="164"/>
        <v>-1.9274526618704899</v>
      </c>
      <c r="U214" s="615">
        <f t="shared" si="164"/>
        <v>-2.0753526618704901</v>
      </c>
      <c r="V214" s="615">
        <f t="shared" si="164"/>
        <v>-2.22325266187049</v>
      </c>
      <c r="W214" s="615">
        <f t="shared" si="164"/>
        <v>-2.3711526618704899</v>
      </c>
      <c r="X214" s="615">
        <f t="shared" si="164"/>
        <v>-2.5190526618704898</v>
      </c>
      <c r="Y214" s="615">
        <f t="shared" si="164"/>
        <v>-2.6669526618704902</v>
      </c>
      <c r="Z214" s="615">
        <f t="shared" si="164"/>
        <v>-2.8148526618704901</v>
      </c>
      <c r="AA214" s="615">
        <f t="shared" si="164"/>
        <v>-2.96275266187049</v>
      </c>
      <c r="AB214" s="615">
        <f t="shared" si="164"/>
        <v>0</v>
      </c>
      <c r="AC214" s="615">
        <f t="shared" si="164"/>
        <v>0</v>
      </c>
      <c r="AD214" s="615">
        <f t="shared" si="164"/>
        <v>0</v>
      </c>
      <c r="AE214" s="615">
        <f t="shared" si="164"/>
        <v>0</v>
      </c>
      <c r="AF214" s="615">
        <f t="shared" si="164"/>
        <v>0</v>
      </c>
      <c r="AG214" s="615">
        <f t="shared" si="164"/>
        <v>0</v>
      </c>
      <c r="AH214" s="615">
        <f t="shared" si="164"/>
        <v>0</v>
      </c>
      <c r="AI214" s="615">
        <f t="shared" si="164"/>
        <v>0</v>
      </c>
      <c r="AJ214" s="615">
        <f t="shared" si="164"/>
        <v>0</v>
      </c>
      <c r="AK214" s="615">
        <f t="shared" si="164"/>
        <v>0</v>
      </c>
      <c r="AL214" s="615">
        <f t="shared" si="164"/>
        <v>0</v>
      </c>
      <c r="AM214" s="615">
        <f t="shared" si="164"/>
        <v>0</v>
      </c>
      <c r="AN214" s="615">
        <f t="shared" si="164"/>
        <v>0</v>
      </c>
      <c r="AO214" s="615">
        <f t="shared" si="164"/>
        <v>0</v>
      </c>
      <c r="AP214" s="615">
        <f t="shared" si="164"/>
        <v>0</v>
      </c>
      <c r="AQ214" s="615">
        <f t="shared" si="164"/>
        <v>0</v>
      </c>
      <c r="AR214" s="615">
        <f t="shared" si="164"/>
        <v>0</v>
      </c>
      <c r="AS214" s="615">
        <f t="shared" si="164"/>
        <v>0</v>
      </c>
      <c r="AT214" s="615">
        <f t="shared" si="164"/>
        <v>0</v>
      </c>
      <c r="AU214" s="615">
        <f t="shared" si="164"/>
        <v>0</v>
      </c>
      <c r="AV214" s="615">
        <f t="shared" si="164"/>
        <v>0</v>
      </c>
      <c r="AW214" s="615">
        <f t="shared" si="164"/>
        <v>0</v>
      </c>
      <c r="AX214" s="615">
        <f t="shared" si="164"/>
        <v>0</v>
      </c>
      <c r="AY214" s="615">
        <f t="shared" si="164"/>
        <v>0</v>
      </c>
      <c r="AZ214" s="615">
        <f t="shared" si="164"/>
        <v>0</v>
      </c>
      <c r="BA214" s="615">
        <f t="shared" si="164"/>
        <v>0</v>
      </c>
      <c r="BB214" s="615">
        <f t="shared" si="164"/>
        <v>0</v>
      </c>
      <c r="BC214" s="615">
        <f t="shared" si="164"/>
        <v>0</v>
      </c>
      <c r="BD214" s="615">
        <f t="shared" si="164"/>
        <v>0</v>
      </c>
      <c r="BE214" s="615">
        <f t="shared" si="164"/>
        <v>0</v>
      </c>
      <c r="BF214" s="615">
        <f t="shared" si="164"/>
        <v>0</v>
      </c>
      <c r="BG214" s="615">
        <f t="shared" si="164"/>
        <v>0</v>
      </c>
      <c r="BH214" s="615">
        <f t="shared" si="164"/>
        <v>0</v>
      </c>
      <c r="BI214" s="615">
        <f t="shared" si="164"/>
        <v>0</v>
      </c>
      <c r="BJ214" s="615">
        <f t="shared" si="164"/>
        <v>0</v>
      </c>
      <c r="BK214" s="615">
        <f t="shared" si="164"/>
        <v>0</v>
      </c>
      <c r="BL214" s="615">
        <f t="shared" si="164"/>
        <v>0</v>
      </c>
      <c r="BM214" s="615">
        <f t="shared" si="164"/>
        <v>0</v>
      </c>
      <c r="BN214" s="615">
        <f t="shared" si="164"/>
        <v>0</v>
      </c>
      <c r="BO214" s="615">
        <f t="shared" si="164"/>
        <v>0</v>
      </c>
      <c r="BP214" s="615">
        <f t="shared" si="164"/>
        <v>0</v>
      </c>
      <c r="BQ214" s="615">
        <f t="shared" si="164"/>
        <v>0</v>
      </c>
      <c r="BR214" s="615">
        <f t="shared" si="164"/>
        <v>0</v>
      </c>
      <c r="BS214" s="615">
        <f t="shared" si="164"/>
        <v>0</v>
      </c>
      <c r="BT214" s="615">
        <f t="shared" si="164"/>
        <v>0</v>
      </c>
      <c r="BU214" s="615">
        <f t="shared" si="164"/>
        <v>0</v>
      </c>
      <c r="BV214" s="615">
        <f t="shared" si="164"/>
        <v>0</v>
      </c>
      <c r="BW214" s="615">
        <f t="shared" si="164"/>
        <v>0</v>
      </c>
      <c r="BX214" s="615">
        <f t="shared" si="164"/>
        <v>0</v>
      </c>
      <c r="BY214" s="615">
        <f t="shared" si="164"/>
        <v>0</v>
      </c>
      <c r="BZ214" s="615">
        <f t="shared" ref="BZ214:CI214" si="165">BZ33</f>
        <v>0</v>
      </c>
      <c r="CA214" s="615">
        <f t="shared" si="165"/>
        <v>0</v>
      </c>
      <c r="CB214" s="615">
        <f t="shared" si="165"/>
        <v>0</v>
      </c>
      <c r="CC214" s="615">
        <f t="shared" si="165"/>
        <v>0</v>
      </c>
      <c r="CD214" s="615">
        <f t="shared" si="165"/>
        <v>0</v>
      </c>
      <c r="CE214" s="615">
        <f t="shared" si="165"/>
        <v>0</v>
      </c>
      <c r="CF214" s="615">
        <f t="shared" si="165"/>
        <v>0</v>
      </c>
      <c r="CG214" s="615">
        <f t="shared" si="165"/>
        <v>0</v>
      </c>
      <c r="CH214" s="615">
        <f t="shared" si="165"/>
        <v>0</v>
      </c>
      <c r="CI214" s="615">
        <f t="shared" si="165"/>
        <v>0</v>
      </c>
      <c r="CJ214" s="1410"/>
      <c r="CK214" s="605"/>
    </row>
    <row r="215" spans="1:89" s="64" customFormat="1" ht="28" x14ac:dyDescent="0.35">
      <c r="A215" s="58"/>
      <c r="B215" s="909" t="s">
        <v>326</v>
      </c>
      <c r="C215" s="910" t="s">
        <v>327</v>
      </c>
      <c r="D215" s="906" t="s">
        <v>82</v>
      </c>
      <c r="E215" s="907" t="s">
        <v>305</v>
      </c>
      <c r="F215" s="908">
        <v>2</v>
      </c>
      <c r="G215" s="611"/>
      <c r="H215" s="611"/>
      <c r="I215" s="611"/>
      <c r="J215" s="611"/>
      <c r="K215" s="611"/>
      <c r="L215" s="611"/>
      <c r="M215" s="615">
        <f>M34</f>
        <v>-8.4600000000000009</v>
      </c>
      <c r="N215" s="615">
        <f t="shared" ref="N215:BY215" si="166">N34</f>
        <v>-8.4600000000000009</v>
      </c>
      <c r="O215" s="615">
        <f t="shared" si="166"/>
        <v>-8.82</v>
      </c>
      <c r="P215" s="615">
        <f t="shared" si="166"/>
        <v>-8.82</v>
      </c>
      <c r="Q215" s="615">
        <f t="shared" si="166"/>
        <v>-8.82</v>
      </c>
      <c r="R215" s="615">
        <f t="shared" si="166"/>
        <v>-26.830000000000002</v>
      </c>
      <c r="S215" s="615">
        <f t="shared" si="166"/>
        <v>-26.830000000000002</v>
      </c>
      <c r="T215" s="615">
        <f t="shared" si="166"/>
        <v>-26.830000000000002</v>
      </c>
      <c r="U215" s="615">
        <f t="shared" si="166"/>
        <v>-26.830000000000002</v>
      </c>
      <c r="V215" s="615">
        <f t="shared" si="166"/>
        <v>-26.830000000000002</v>
      </c>
      <c r="W215" s="615">
        <f t="shared" si="166"/>
        <v>-26.830000000000002</v>
      </c>
      <c r="X215" s="615">
        <f t="shared" si="166"/>
        <v>-26.830000000000002</v>
      </c>
      <c r="Y215" s="615">
        <f t="shared" si="166"/>
        <v>-26.830000000000002</v>
      </c>
      <c r="Z215" s="615">
        <f t="shared" si="166"/>
        <v>-26.830000000000002</v>
      </c>
      <c r="AA215" s="615">
        <f t="shared" si="166"/>
        <v>-26.830000000000002</v>
      </c>
      <c r="AB215" s="615">
        <f t="shared" si="166"/>
        <v>-26.830000000000002</v>
      </c>
      <c r="AC215" s="615">
        <f t="shared" si="166"/>
        <v>-26.830000000000002</v>
      </c>
      <c r="AD215" s="615">
        <f t="shared" si="166"/>
        <v>-26.830000000000002</v>
      </c>
      <c r="AE215" s="615">
        <f t="shared" si="166"/>
        <v>-26.830000000000002</v>
      </c>
      <c r="AF215" s="615">
        <f t="shared" si="166"/>
        <v>-26.830000000000002</v>
      </c>
      <c r="AG215" s="615">
        <f t="shared" si="166"/>
        <v>-26.830000000000002</v>
      </c>
      <c r="AH215" s="615">
        <f t="shared" si="166"/>
        <v>-26.830000000000002</v>
      </c>
      <c r="AI215" s="615">
        <f t="shared" si="166"/>
        <v>-26.830000000000002</v>
      </c>
      <c r="AJ215" s="615">
        <f t="shared" si="166"/>
        <v>-26.830000000000002</v>
      </c>
      <c r="AK215" s="615">
        <f t="shared" si="166"/>
        <v>-26.830000000000002</v>
      </c>
      <c r="AL215" s="615">
        <f t="shared" si="166"/>
        <v>-26.830000000000002</v>
      </c>
      <c r="AM215" s="615">
        <f t="shared" si="166"/>
        <v>-26.830000000000002</v>
      </c>
      <c r="AN215" s="615">
        <f t="shared" si="166"/>
        <v>-26.830000000000002</v>
      </c>
      <c r="AO215" s="615">
        <f t="shared" si="166"/>
        <v>-26.830000000000002</v>
      </c>
      <c r="AP215" s="615">
        <f t="shared" si="166"/>
        <v>-26.830000000000002</v>
      </c>
      <c r="AQ215" s="615">
        <f t="shared" si="166"/>
        <v>-26.830000000000002</v>
      </c>
      <c r="AR215" s="615">
        <f t="shared" si="166"/>
        <v>-26.830000000000002</v>
      </c>
      <c r="AS215" s="615">
        <f t="shared" si="166"/>
        <v>-26.830000000000002</v>
      </c>
      <c r="AT215" s="615">
        <f t="shared" si="166"/>
        <v>-26.830000000000002</v>
      </c>
      <c r="AU215" s="615">
        <f t="shared" si="166"/>
        <v>-26.830000000000002</v>
      </c>
      <c r="AV215" s="615">
        <f t="shared" si="166"/>
        <v>-26.830000000000002</v>
      </c>
      <c r="AW215" s="615">
        <f t="shared" si="166"/>
        <v>-26.830000000000002</v>
      </c>
      <c r="AX215" s="615">
        <f t="shared" si="166"/>
        <v>-26.830000000000002</v>
      </c>
      <c r="AY215" s="615">
        <f t="shared" si="166"/>
        <v>-26.830000000000002</v>
      </c>
      <c r="AZ215" s="615">
        <f t="shared" si="166"/>
        <v>-26.830000000000002</v>
      </c>
      <c r="BA215" s="615">
        <f t="shared" si="166"/>
        <v>-26.830000000000002</v>
      </c>
      <c r="BB215" s="615">
        <f t="shared" si="166"/>
        <v>-26.830000000000002</v>
      </c>
      <c r="BC215" s="615">
        <f t="shared" si="166"/>
        <v>-26.830000000000002</v>
      </c>
      <c r="BD215" s="615">
        <f t="shared" si="166"/>
        <v>-26.830000000000002</v>
      </c>
      <c r="BE215" s="615">
        <f t="shared" si="166"/>
        <v>-26.830000000000002</v>
      </c>
      <c r="BF215" s="615">
        <f t="shared" si="166"/>
        <v>-26.830000000000002</v>
      </c>
      <c r="BG215" s="615">
        <f t="shared" si="166"/>
        <v>-26.830000000000002</v>
      </c>
      <c r="BH215" s="615">
        <f t="shared" si="166"/>
        <v>-26.830000000000002</v>
      </c>
      <c r="BI215" s="615">
        <f t="shared" si="166"/>
        <v>-26.830000000000002</v>
      </c>
      <c r="BJ215" s="615">
        <f t="shared" si="166"/>
        <v>-26.830000000000002</v>
      </c>
      <c r="BK215" s="615">
        <f t="shared" si="166"/>
        <v>-26.830000000000002</v>
      </c>
      <c r="BL215" s="615">
        <f t="shared" si="166"/>
        <v>-26.830000000000002</v>
      </c>
      <c r="BM215" s="615">
        <f t="shared" si="166"/>
        <v>-26.830000000000002</v>
      </c>
      <c r="BN215" s="615">
        <f t="shared" si="166"/>
        <v>-26.830000000000002</v>
      </c>
      <c r="BO215" s="615">
        <f t="shared" si="166"/>
        <v>-26.830000000000002</v>
      </c>
      <c r="BP215" s="615">
        <f t="shared" si="166"/>
        <v>-26.830000000000002</v>
      </c>
      <c r="BQ215" s="615">
        <f t="shared" si="166"/>
        <v>-26.830000000000002</v>
      </c>
      <c r="BR215" s="615">
        <f t="shared" si="166"/>
        <v>-26.830000000000002</v>
      </c>
      <c r="BS215" s="615">
        <f t="shared" si="166"/>
        <v>-26.830000000000002</v>
      </c>
      <c r="BT215" s="615">
        <f t="shared" si="166"/>
        <v>-26.830000000000002</v>
      </c>
      <c r="BU215" s="615">
        <f t="shared" si="166"/>
        <v>-26.830000000000002</v>
      </c>
      <c r="BV215" s="615">
        <f t="shared" si="166"/>
        <v>-26.830000000000002</v>
      </c>
      <c r="BW215" s="615">
        <f t="shared" si="166"/>
        <v>-26.830000000000002</v>
      </c>
      <c r="BX215" s="615">
        <f t="shared" si="166"/>
        <v>-26.830000000000002</v>
      </c>
      <c r="BY215" s="615">
        <f t="shared" si="166"/>
        <v>-26.830000000000002</v>
      </c>
      <c r="BZ215" s="615">
        <f t="shared" ref="BZ215:CI215" si="167">BZ34</f>
        <v>-26.830000000000002</v>
      </c>
      <c r="CA215" s="615">
        <f t="shared" si="167"/>
        <v>-26.830000000000002</v>
      </c>
      <c r="CB215" s="615">
        <f t="shared" si="167"/>
        <v>-26.830000000000002</v>
      </c>
      <c r="CC215" s="615">
        <f t="shared" si="167"/>
        <v>-26.830000000000002</v>
      </c>
      <c r="CD215" s="615">
        <f t="shared" si="167"/>
        <v>-26.830000000000002</v>
      </c>
      <c r="CE215" s="615">
        <f t="shared" si="167"/>
        <v>-26.830000000000002</v>
      </c>
      <c r="CF215" s="615">
        <f t="shared" si="167"/>
        <v>-26.830000000000002</v>
      </c>
      <c r="CG215" s="615">
        <f t="shared" si="167"/>
        <v>-26.830000000000002</v>
      </c>
      <c r="CH215" s="615">
        <f t="shared" si="167"/>
        <v>-26.830000000000002</v>
      </c>
      <c r="CI215" s="615">
        <f t="shared" si="167"/>
        <v>-26.830000000000002</v>
      </c>
      <c r="CJ215" s="1410"/>
      <c r="CK215" s="605"/>
    </row>
    <row r="216" spans="1:89" s="64" customFormat="1" ht="56" x14ac:dyDescent="0.35">
      <c r="A216" s="58"/>
      <c r="B216" s="909" t="s">
        <v>328</v>
      </c>
      <c r="C216" s="910" t="s">
        <v>631</v>
      </c>
      <c r="D216" s="906" t="s">
        <v>82</v>
      </c>
      <c r="E216" s="907" t="s">
        <v>305</v>
      </c>
      <c r="F216" s="908">
        <v>2</v>
      </c>
      <c r="G216" s="611"/>
      <c r="H216" s="611"/>
      <c r="I216" s="611"/>
      <c r="J216" s="611"/>
      <c r="K216" s="611"/>
      <c r="L216" s="611"/>
      <c r="M216" s="615"/>
      <c r="N216" s="615"/>
      <c r="O216" s="615"/>
      <c r="P216" s="615"/>
      <c r="Q216" s="615"/>
      <c r="R216" s="615"/>
      <c r="S216" s="615"/>
      <c r="T216" s="615"/>
      <c r="U216" s="615"/>
      <c r="V216" s="615"/>
      <c r="W216" s="615"/>
      <c r="X216" s="615"/>
      <c r="Y216" s="615"/>
      <c r="Z216" s="615"/>
      <c r="AA216" s="615"/>
      <c r="AB216" s="615">
        <f>AB35</f>
        <v>-35</v>
      </c>
      <c r="AC216" s="615">
        <f t="shared" ref="AC216:CI216" si="168">AC35</f>
        <v>-35</v>
      </c>
      <c r="AD216" s="615">
        <f t="shared" si="168"/>
        <v>-35</v>
      </c>
      <c r="AE216" s="615">
        <f t="shared" si="168"/>
        <v>-35</v>
      </c>
      <c r="AF216" s="615">
        <f t="shared" si="168"/>
        <v>-35</v>
      </c>
      <c r="AG216" s="615">
        <f t="shared" si="168"/>
        <v>-35</v>
      </c>
      <c r="AH216" s="615">
        <f t="shared" si="168"/>
        <v>-35</v>
      </c>
      <c r="AI216" s="615">
        <f t="shared" si="168"/>
        <v>-35</v>
      </c>
      <c r="AJ216" s="615">
        <f t="shared" si="168"/>
        <v>-35</v>
      </c>
      <c r="AK216" s="615">
        <f t="shared" si="168"/>
        <v>-35</v>
      </c>
      <c r="AL216" s="615">
        <f t="shared" si="168"/>
        <v>-35</v>
      </c>
      <c r="AM216" s="615">
        <f t="shared" si="168"/>
        <v>-35</v>
      </c>
      <c r="AN216" s="615">
        <f t="shared" si="168"/>
        <v>-35</v>
      </c>
      <c r="AO216" s="615">
        <f t="shared" si="168"/>
        <v>-35</v>
      </c>
      <c r="AP216" s="615">
        <f t="shared" si="168"/>
        <v>-35</v>
      </c>
      <c r="AQ216" s="615">
        <f t="shared" si="168"/>
        <v>-35</v>
      </c>
      <c r="AR216" s="615">
        <f t="shared" si="168"/>
        <v>-35</v>
      </c>
      <c r="AS216" s="615">
        <f t="shared" si="168"/>
        <v>-35</v>
      </c>
      <c r="AT216" s="615">
        <f t="shared" si="168"/>
        <v>-35</v>
      </c>
      <c r="AU216" s="615">
        <f t="shared" si="168"/>
        <v>-35</v>
      </c>
      <c r="AV216" s="615">
        <f t="shared" si="168"/>
        <v>-35</v>
      </c>
      <c r="AW216" s="615">
        <f t="shared" si="168"/>
        <v>-35</v>
      </c>
      <c r="AX216" s="615">
        <f t="shared" si="168"/>
        <v>-35</v>
      </c>
      <c r="AY216" s="615">
        <f t="shared" si="168"/>
        <v>-35</v>
      </c>
      <c r="AZ216" s="615">
        <f t="shared" si="168"/>
        <v>-35</v>
      </c>
      <c r="BA216" s="615">
        <f t="shared" si="168"/>
        <v>-35</v>
      </c>
      <c r="BB216" s="615">
        <f t="shared" si="168"/>
        <v>-35</v>
      </c>
      <c r="BC216" s="615">
        <f t="shared" si="168"/>
        <v>-35</v>
      </c>
      <c r="BD216" s="615">
        <f t="shared" si="168"/>
        <v>-35</v>
      </c>
      <c r="BE216" s="615">
        <f t="shared" si="168"/>
        <v>-35</v>
      </c>
      <c r="BF216" s="615">
        <f t="shared" si="168"/>
        <v>-35</v>
      </c>
      <c r="BG216" s="615">
        <f t="shared" si="168"/>
        <v>-35</v>
      </c>
      <c r="BH216" s="615">
        <f t="shared" si="168"/>
        <v>-35</v>
      </c>
      <c r="BI216" s="615">
        <f t="shared" si="168"/>
        <v>-35</v>
      </c>
      <c r="BJ216" s="615">
        <f t="shared" si="168"/>
        <v>-35</v>
      </c>
      <c r="BK216" s="615">
        <f t="shared" si="168"/>
        <v>-35</v>
      </c>
      <c r="BL216" s="615">
        <f t="shared" si="168"/>
        <v>-35</v>
      </c>
      <c r="BM216" s="615">
        <f t="shared" si="168"/>
        <v>-35</v>
      </c>
      <c r="BN216" s="615">
        <f t="shared" si="168"/>
        <v>-35</v>
      </c>
      <c r="BO216" s="615">
        <f t="shared" si="168"/>
        <v>-35</v>
      </c>
      <c r="BP216" s="615">
        <f t="shared" si="168"/>
        <v>-35</v>
      </c>
      <c r="BQ216" s="615">
        <f t="shared" si="168"/>
        <v>-35</v>
      </c>
      <c r="BR216" s="615">
        <f t="shared" si="168"/>
        <v>-35</v>
      </c>
      <c r="BS216" s="615">
        <f t="shared" si="168"/>
        <v>-35</v>
      </c>
      <c r="BT216" s="615">
        <f t="shared" si="168"/>
        <v>-35</v>
      </c>
      <c r="BU216" s="615">
        <f t="shared" si="168"/>
        <v>-35</v>
      </c>
      <c r="BV216" s="615">
        <f t="shared" si="168"/>
        <v>-35</v>
      </c>
      <c r="BW216" s="615">
        <f t="shared" si="168"/>
        <v>-35</v>
      </c>
      <c r="BX216" s="615">
        <f t="shared" si="168"/>
        <v>-35</v>
      </c>
      <c r="BY216" s="615">
        <f t="shared" si="168"/>
        <v>-35</v>
      </c>
      <c r="BZ216" s="615">
        <f t="shared" si="168"/>
        <v>-35</v>
      </c>
      <c r="CA216" s="615">
        <f t="shared" si="168"/>
        <v>-35</v>
      </c>
      <c r="CB216" s="615">
        <f t="shared" si="168"/>
        <v>-35</v>
      </c>
      <c r="CC216" s="615">
        <f t="shared" si="168"/>
        <v>-35</v>
      </c>
      <c r="CD216" s="615">
        <f t="shared" si="168"/>
        <v>-35</v>
      </c>
      <c r="CE216" s="615">
        <f t="shared" si="168"/>
        <v>-35</v>
      </c>
      <c r="CF216" s="615">
        <f t="shared" si="168"/>
        <v>-35</v>
      </c>
      <c r="CG216" s="615">
        <f t="shared" si="168"/>
        <v>-35</v>
      </c>
      <c r="CH216" s="615">
        <f t="shared" si="168"/>
        <v>-35</v>
      </c>
      <c r="CI216" s="615">
        <f t="shared" si="168"/>
        <v>-35</v>
      </c>
      <c r="CJ216" s="1410"/>
      <c r="CK216" s="605"/>
    </row>
    <row r="217" spans="1:89" s="64" customFormat="1" ht="28" x14ac:dyDescent="0.35">
      <c r="A217" s="58"/>
      <c r="B217" s="909" t="s">
        <v>330</v>
      </c>
      <c r="C217" s="910" t="s">
        <v>331</v>
      </c>
      <c r="D217" s="906" t="s">
        <v>82</v>
      </c>
      <c r="E217" s="907" t="s">
        <v>305</v>
      </c>
      <c r="F217" s="908">
        <v>2</v>
      </c>
      <c r="G217" s="611"/>
      <c r="H217" s="611"/>
      <c r="I217" s="611"/>
      <c r="J217" s="611"/>
      <c r="K217" s="611"/>
      <c r="L217" s="611"/>
      <c r="M217" s="615"/>
      <c r="N217" s="615"/>
      <c r="O217" s="615"/>
      <c r="P217" s="615"/>
      <c r="Q217" s="615"/>
      <c r="R217" s="615"/>
      <c r="S217" s="615"/>
      <c r="T217" s="615"/>
      <c r="U217" s="615"/>
      <c r="V217" s="615"/>
      <c r="W217" s="615"/>
      <c r="X217" s="615"/>
      <c r="Y217" s="615"/>
      <c r="Z217" s="615"/>
      <c r="AA217" s="615"/>
      <c r="AB217" s="615"/>
      <c r="AC217" s="615"/>
      <c r="AD217" s="615"/>
      <c r="AE217" s="615"/>
      <c r="AF217" s="615"/>
      <c r="AG217" s="615"/>
      <c r="AH217" s="615"/>
      <c r="AI217" s="615"/>
      <c r="AJ217" s="615"/>
      <c r="AK217" s="615"/>
      <c r="AL217" s="615"/>
      <c r="AM217" s="615"/>
      <c r="AN217" s="615"/>
      <c r="AO217" s="615"/>
      <c r="AP217" s="615"/>
      <c r="AQ217" s="615"/>
      <c r="AR217" s="615"/>
      <c r="AS217" s="615"/>
      <c r="AT217" s="615"/>
      <c r="AU217" s="615"/>
      <c r="AV217" s="615"/>
      <c r="AW217" s="615"/>
      <c r="AX217" s="615"/>
      <c r="AY217" s="615"/>
      <c r="AZ217" s="615"/>
      <c r="BA217" s="615"/>
      <c r="BB217" s="615"/>
      <c r="BC217" s="615"/>
      <c r="BD217" s="615"/>
      <c r="BE217" s="615"/>
      <c r="BF217" s="615"/>
      <c r="BG217" s="615"/>
      <c r="BH217" s="615"/>
      <c r="BI217" s="615"/>
      <c r="BJ217" s="615"/>
      <c r="BK217" s="615"/>
      <c r="BL217" s="615"/>
      <c r="BM217" s="615"/>
      <c r="BN217" s="615"/>
      <c r="BO217" s="615"/>
      <c r="BP217" s="615"/>
      <c r="BQ217" s="615"/>
      <c r="BR217" s="615"/>
      <c r="BS217" s="615"/>
      <c r="BT217" s="615"/>
      <c r="BU217" s="615"/>
      <c r="BV217" s="615"/>
      <c r="BW217" s="615"/>
      <c r="BX217" s="615"/>
      <c r="BY217" s="615"/>
      <c r="BZ217" s="615"/>
      <c r="CA217" s="615"/>
      <c r="CB217" s="615"/>
      <c r="CC217" s="615"/>
      <c r="CD217" s="615"/>
      <c r="CE217" s="615"/>
      <c r="CF217" s="615"/>
      <c r="CG217" s="615"/>
      <c r="CH217" s="615"/>
      <c r="CI217" s="616"/>
      <c r="CJ217" s="1410"/>
      <c r="CK217" s="605"/>
    </row>
    <row r="218" spans="1:89" s="64" customFormat="1" x14ac:dyDescent="0.35">
      <c r="A218" s="58"/>
      <c r="B218" s="909" t="s">
        <v>332</v>
      </c>
      <c r="C218" s="910" t="s">
        <v>333</v>
      </c>
      <c r="D218" s="906" t="s">
        <v>334</v>
      </c>
      <c r="E218" s="907" t="s">
        <v>305</v>
      </c>
      <c r="F218" s="908">
        <v>2</v>
      </c>
      <c r="G218" s="611">
        <v>0</v>
      </c>
      <c r="H218" s="611">
        <v>0</v>
      </c>
      <c r="I218" s="611">
        <v>0</v>
      </c>
      <c r="J218" s="611">
        <v>0</v>
      </c>
      <c r="K218" s="611">
        <v>0</v>
      </c>
      <c r="L218" s="611">
        <v>0</v>
      </c>
      <c r="M218" s="624">
        <v>0</v>
      </c>
      <c r="N218" s="624">
        <v>0</v>
      </c>
      <c r="O218" s="624">
        <v>0</v>
      </c>
      <c r="P218" s="624">
        <v>0</v>
      </c>
      <c r="Q218" s="624">
        <v>0</v>
      </c>
      <c r="R218" s="624">
        <v>0</v>
      </c>
      <c r="S218" s="624">
        <v>0</v>
      </c>
      <c r="T218" s="624">
        <v>0</v>
      </c>
      <c r="U218" s="624">
        <v>0</v>
      </c>
      <c r="V218" s="624">
        <v>0</v>
      </c>
      <c r="W218" s="624">
        <v>0</v>
      </c>
      <c r="X218" s="624">
        <v>0</v>
      </c>
      <c r="Y218" s="624">
        <v>0</v>
      </c>
      <c r="Z218" s="624">
        <v>0</v>
      </c>
      <c r="AA218" s="624">
        <v>0</v>
      </c>
      <c r="AB218" s="624">
        <v>0</v>
      </c>
      <c r="AC218" s="624">
        <v>0</v>
      </c>
      <c r="AD218" s="624">
        <v>0</v>
      </c>
      <c r="AE218" s="624">
        <v>0</v>
      </c>
      <c r="AF218" s="624">
        <v>0</v>
      </c>
      <c r="AG218" s="624">
        <v>0</v>
      </c>
      <c r="AH218" s="624">
        <v>0</v>
      </c>
      <c r="AI218" s="624">
        <v>0</v>
      </c>
      <c r="AJ218" s="624">
        <v>0</v>
      </c>
      <c r="AK218" s="624">
        <v>0</v>
      </c>
      <c r="AL218" s="624">
        <v>0</v>
      </c>
      <c r="AM218" s="624">
        <v>0</v>
      </c>
      <c r="AN218" s="624">
        <v>0</v>
      </c>
      <c r="AO218" s="624">
        <v>0</v>
      </c>
      <c r="AP218" s="624">
        <v>0</v>
      </c>
      <c r="AQ218" s="624">
        <v>0</v>
      </c>
      <c r="AR218" s="624">
        <v>0</v>
      </c>
      <c r="AS218" s="624">
        <v>0</v>
      </c>
      <c r="AT218" s="624">
        <v>0</v>
      </c>
      <c r="AU218" s="624">
        <v>0</v>
      </c>
      <c r="AV218" s="624">
        <v>0</v>
      </c>
      <c r="AW218" s="624">
        <v>0</v>
      </c>
      <c r="AX218" s="624">
        <v>0</v>
      </c>
      <c r="AY218" s="624">
        <v>0</v>
      </c>
      <c r="AZ218" s="624">
        <v>0</v>
      </c>
      <c r="BA218" s="624">
        <v>0</v>
      </c>
      <c r="BB218" s="624">
        <v>0</v>
      </c>
      <c r="BC218" s="624">
        <v>0</v>
      </c>
      <c r="BD218" s="624">
        <v>0</v>
      </c>
      <c r="BE218" s="624">
        <v>0</v>
      </c>
      <c r="BF218" s="624">
        <v>0</v>
      </c>
      <c r="BG218" s="624">
        <v>0</v>
      </c>
      <c r="BH218" s="624">
        <v>0</v>
      </c>
      <c r="BI218" s="624">
        <v>0</v>
      </c>
      <c r="BJ218" s="624">
        <v>0</v>
      </c>
      <c r="BK218" s="624">
        <v>0</v>
      </c>
      <c r="BL218" s="624">
        <v>0</v>
      </c>
      <c r="BM218" s="624">
        <v>0</v>
      </c>
      <c r="BN218" s="624">
        <v>0</v>
      </c>
      <c r="BO218" s="624">
        <v>0</v>
      </c>
      <c r="BP218" s="624">
        <v>0</v>
      </c>
      <c r="BQ218" s="624">
        <v>0</v>
      </c>
      <c r="BR218" s="624">
        <v>0</v>
      </c>
      <c r="BS218" s="624">
        <v>0</v>
      </c>
      <c r="BT218" s="624">
        <v>0</v>
      </c>
      <c r="BU218" s="624">
        <v>0</v>
      </c>
      <c r="BV218" s="624">
        <v>0</v>
      </c>
      <c r="BW218" s="624">
        <v>0</v>
      </c>
      <c r="BX218" s="624">
        <v>0</v>
      </c>
      <c r="BY218" s="624">
        <v>0</v>
      </c>
      <c r="BZ218" s="624">
        <v>0</v>
      </c>
      <c r="CA218" s="624">
        <v>0</v>
      </c>
      <c r="CB218" s="624">
        <v>0</v>
      </c>
      <c r="CC218" s="624">
        <v>0</v>
      </c>
      <c r="CD218" s="624">
        <v>0</v>
      </c>
      <c r="CE218" s="624">
        <v>0</v>
      </c>
      <c r="CF218" s="624">
        <v>0</v>
      </c>
      <c r="CG218" s="624">
        <v>0</v>
      </c>
      <c r="CH218" s="624">
        <v>0</v>
      </c>
      <c r="CI218" s="625">
        <v>0</v>
      </c>
      <c r="CJ218" s="1410"/>
      <c r="CK218" s="605"/>
    </row>
    <row r="219" spans="1:89" s="64" customFormat="1" ht="28" x14ac:dyDescent="0.35">
      <c r="A219" s="58"/>
      <c r="B219" s="909" t="s">
        <v>335</v>
      </c>
      <c r="C219" s="910" t="s">
        <v>632</v>
      </c>
      <c r="D219" s="906" t="s">
        <v>82</v>
      </c>
      <c r="E219" s="907" t="s">
        <v>305</v>
      </c>
      <c r="F219" s="908">
        <v>2</v>
      </c>
      <c r="G219" s="611"/>
      <c r="H219" s="611"/>
      <c r="I219" s="611"/>
      <c r="J219" s="611"/>
      <c r="K219" s="611"/>
      <c r="L219" s="611"/>
      <c r="M219" s="615"/>
      <c r="N219" s="615"/>
      <c r="O219" s="615"/>
      <c r="P219" s="615"/>
      <c r="Q219" s="615"/>
      <c r="R219" s="615"/>
      <c r="S219" s="615"/>
      <c r="T219" s="615"/>
      <c r="U219" s="615"/>
      <c r="V219" s="615"/>
      <c r="W219" s="615"/>
      <c r="X219" s="615"/>
      <c r="Y219" s="615"/>
      <c r="Z219" s="615"/>
      <c r="AA219" s="615"/>
      <c r="AB219" s="615"/>
      <c r="AC219" s="615"/>
      <c r="AD219" s="615"/>
      <c r="AE219" s="615"/>
      <c r="AF219" s="615"/>
      <c r="AG219" s="615"/>
      <c r="AH219" s="615"/>
      <c r="AI219" s="615"/>
      <c r="AJ219" s="615"/>
      <c r="AK219" s="615"/>
      <c r="AL219" s="615"/>
      <c r="AM219" s="615"/>
      <c r="AN219" s="615"/>
      <c r="AO219" s="615"/>
      <c r="AP219" s="615"/>
      <c r="AQ219" s="615"/>
      <c r="AR219" s="615"/>
      <c r="AS219" s="615"/>
      <c r="AT219" s="615"/>
      <c r="AU219" s="615"/>
      <c r="AV219" s="615"/>
      <c r="AW219" s="615"/>
      <c r="AX219" s="615"/>
      <c r="AY219" s="615"/>
      <c r="AZ219" s="615"/>
      <c r="BA219" s="615"/>
      <c r="BB219" s="615"/>
      <c r="BC219" s="615"/>
      <c r="BD219" s="615"/>
      <c r="BE219" s="615"/>
      <c r="BF219" s="615"/>
      <c r="BG219" s="615"/>
      <c r="BH219" s="615"/>
      <c r="BI219" s="615"/>
      <c r="BJ219" s="615"/>
      <c r="BK219" s="615"/>
      <c r="BL219" s="615"/>
      <c r="BM219" s="615"/>
      <c r="BN219" s="615"/>
      <c r="BO219" s="615"/>
      <c r="BP219" s="615"/>
      <c r="BQ219" s="615"/>
      <c r="BR219" s="615"/>
      <c r="BS219" s="615"/>
      <c r="BT219" s="615"/>
      <c r="BU219" s="615"/>
      <c r="BV219" s="615"/>
      <c r="BW219" s="615"/>
      <c r="BX219" s="615"/>
      <c r="BY219" s="615"/>
      <c r="BZ219" s="615"/>
      <c r="CA219" s="615"/>
      <c r="CB219" s="615"/>
      <c r="CC219" s="615"/>
      <c r="CD219" s="615"/>
      <c r="CE219" s="615"/>
      <c r="CF219" s="615"/>
      <c r="CG219" s="615"/>
      <c r="CH219" s="615"/>
      <c r="CI219" s="616"/>
      <c r="CJ219" s="1410"/>
      <c r="CK219" s="605"/>
    </row>
    <row r="220" spans="1:89" s="64" customFormat="1" ht="28" x14ac:dyDescent="0.35">
      <c r="A220" s="58"/>
      <c r="B220" s="909" t="s">
        <v>337</v>
      </c>
      <c r="C220" s="910" t="s">
        <v>561</v>
      </c>
      <c r="D220" s="906" t="s">
        <v>82</v>
      </c>
      <c r="E220" s="907" t="s">
        <v>305</v>
      </c>
      <c r="F220" s="908">
        <v>2</v>
      </c>
      <c r="G220" s="611">
        <v>0.16</v>
      </c>
      <c r="H220" s="611">
        <v>0.16</v>
      </c>
      <c r="I220" s="611">
        <v>0.16</v>
      </c>
      <c r="J220" s="611">
        <v>0.16</v>
      </c>
      <c r="K220" s="611">
        <v>0.16</v>
      </c>
      <c r="L220" s="611">
        <v>0.16</v>
      </c>
      <c r="M220" s="615">
        <v>0.16</v>
      </c>
      <c r="N220" s="615">
        <v>0.16</v>
      </c>
      <c r="O220" s="615">
        <v>0.16</v>
      </c>
      <c r="P220" s="615">
        <v>0.16</v>
      </c>
      <c r="Q220" s="615">
        <v>0.16</v>
      </c>
      <c r="R220" s="615">
        <v>0.16</v>
      </c>
      <c r="S220" s="615">
        <v>0.16</v>
      </c>
      <c r="T220" s="615">
        <v>0.16</v>
      </c>
      <c r="U220" s="615">
        <v>0.16</v>
      </c>
      <c r="V220" s="615">
        <v>0.16</v>
      </c>
      <c r="W220" s="615">
        <v>0.16</v>
      </c>
      <c r="X220" s="615">
        <v>0.16</v>
      </c>
      <c r="Y220" s="615">
        <v>0.16</v>
      </c>
      <c r="Z220" s="615">
        <v>0.16</v>
      </c>
      <c r="AA220" s="615">
        <v>0.16</v>
      </c>
      <c r="AB220" s="615">
        <v>0.16</v>
      </c>
      <c r="AC220" s="615">
        <v>0.16</v>
      </c>
      <c r="AD220" s="615">
        <v>0.16</v>
      </c>
      <c r="AE220" s="615">
        <v>0.16</v>
      </c>
      <c r="AF220" s="615">
        <v>0.16</v>
      </c>
      <c r="AG220" s="615">
        <v>0.16</v>
      </c>
      <c r="AH220" s="615">
        <v>0.16</v>
      </c>
      <c r="AI220" s="615">
        <v>0.16</v>
      </c>
      <c r="AJ220" s="615">
        <v>0.16</v>
      </c>
      <c r="AK220" s="615">
        <v>0.16</v>
      </c>
      <c r="AL220" s="615">
        <v>0.16</v>
      </c>
      <c r="AM220" s="615">
        <v>0.16</v>
      </c>
      <c r="AN220" s="615">
        <v>0.16</v>
      </c>
      <c r="AO220" s="615">
        <v>0.16</v>
      </c>
      <c r="AP220" s="615">
        <v>0.16</v>
      </c>
      <c r="AQ220" s="615">
        <v>0.16</v>
      </c>
      <c r="AR220" s="615">
        <v>0.16</v>
      </c>
      <c r="AS220" s="615">
        <v>0.16</v>
      </c>
      <c r="AT220" s="615">
        <v>0.16</v>
      </c>
      <c r="AU220" s="615">
        <v>0.16</v>
      </c>
      <c r="AV220" s="615">
        <v>0.16</v>
      </c>
      <c r="AW220" s="615">
        <v>0.16</v>
      </c>
      <c r="AX220" s="615">
        <v>0.16</v>
      </c>
      <c r="AY220" s="615">
        <v>0.16</v>
      </c>
      <c r="AZ220" s="615">
        <v>0.16</v>
      </c>
      <c r="BA220" s="615">
        <v>0.16</v>
      </c>
      <c r="BB220" s="615">
        <v>0.16</v>
      </c>
      <c r="BC220" s="615">
        <v>0.16</v>
      </c>
      <c r="BD220" s="615">
        <v>0.16</v>
      </c>
      <c r="BE220" s="615">
        <v>0.16</v>
      </c>
      <c r="BF220" s="615">
        <v>0.16</v>
      </c>
      <c r="BG220" s="615">
        <v>0.16</v>
      </c>
      <c r="BH220" s="615">
        <v>0.16</v>
      </c>
      <c r="BI220" s="615">
        <v>0.16</v>
      </c>
      <c r="BJ220" s="615">
        <v>0.16</v>
      </c>
      <c r="BK220" s="615">
        <v>0.16</v>
      </c>
      <c r="BL220" s="615">
        <v>0.16</v>
      </c>
      <c r="BM220" s="615">
        <v>0.16</v>
      </c>
      <c r="BN220" s="615">
        <v>0.16</v>
      </c>
      <c r="BO220" s="615">
        <v>0.16</v>
      </c>
      <c r="BP220" s="615">
        <v>0.16</v>
      </c>
      <c r="BQ220" s="615">
        <v>0.16</v>
      </c>
      <c r="BR220" s="615">
        <v>0.16</v>
      </c>
      <c r="BS220" s="615">
        <v>0.16</v>
      </c>
      <c r="BT220" s="615">
        <v>0.16</v>
      </c>
      <c r="BU220" s="615">
        <v>0.16</v>
      </c>
      <c r="BV220" s="615">
        <v>0.16</v>
      </c>
      <c r="BW220" s="615">
        <v>0.16</v>
      </c>
      <c r="BX220" s="615">
        <v>0.16</v>
      </c>
      <c r="BY220" s="615">
        <v>0.16</v>
      </c>
      <c r="BZ220" s="615">
        <v>0.16</v>
      </c>
      <c r="CA220" s="615">
        <v>0.16</v>
      </c>
      <c r="CB220" s="615">
        <v>0.16</v>
      </c>
      <c r="CC220" s="615">
        <v>0.16</v>
      </c>
      <c r="CD220" s="615">
        <v>0.16</v>
      </c>
      <c r="CE220" s="615">
        <v>0.16</v>
      </c>
      <c r="CF220" s="615">
        <v>0.16</v>
      </c>
      <c r="CG220" s="615">
        <v>0.16</v>
      </c>
      <c r="CH220" s="615">
        <v>0.16</v>
      </c>
      <c r="CI220" s="615">
        <v>0.16</v>
      </c>
      <c r="CJ220" s="1410"/>
      <c r="CK220" s="605"/>
    </row>
    <row r="221" spans="1:89" s="64" customFormat="1" x14ac:dyDescent="0.35">
      <c r="A221" s="58"/>
      <c r="B221" s="909" t="s">
        <v>339</v>
      </c>
      <c r="C221" s="910" t="s">
        <v>340</v>
      </c>
      <c r="D221" s="906" t="s">
        <v>82</v>
      </c>
      <c r="E221" s="907" t="s">
        <v>305</v>
      </c>
      <c r="F221" s="908">
        <v>2</v>
      </c>
      <c r="G221" s="611"/>
      <c r="H221" s="611"/>
      <c r="I221" s="611"/>
      <c r="J221" s="611"/>
      <c r="K221" s="611"/>
      <c r="L221" s="611"/>
      <c r="M221" s="615">
        <v>3.2</v>
      </c>
      <c r="N221" s="615">
        <v>3.2</v>
      </c>
      <c r="O221" s="615">
        <v>3.2</v>
      </c>
      <c r="P221" s="615">
        <v>3.2</v>
      </c>
      <c r="Q221" s="615">
        <v>3.2</v>
      </c>
      <c r="R221" s="615">
        <v>3.2</v>
      </c>
      <c r="S221" s="615">
        <v>3.2</v>
      </c>
      <c r="T221" s="615">
        <v>3.2</v>
      </c>
      <c r="U221" s="615">
        <v>3.2</v>
      </c>
      <c r="V221" s="615">
        <v>3.2</v>
      </c>
      <c r="W221" s="615">
        <v>3.2</v>
      </c>
      <c r="X221" s="615">
        <v>3.2</v>
      </c>
      <c r="Y221" s="615">
        <v>3.2</v>
      </c>
      <c r="Z221" s="615">
        <v>3.2</v>
      </c>
      <c r="AA221" s="615">
        <v>3.2</v>
      </c>
      <c r="AB221" s="615">
        <v>3.2</v>
      </c>
      <c r="AC221" s="615">
        <v>3.2</v>
      </c>
      <c r="AD221" s="615">
        <v>3.2</v>
      </c>
      <c r="AE221" s="615">
        <v>3.2</v>
      </c>
      <c r="AF221" s="615">
        <v>3.2</v>
      </c>
      <c r="AG221" s="615">
        <v>3.2</v>
      </c>
      <c r="AH221" s="615">
        <v>3.2</v>
      </c>
      <c r="AI221" s="615">
        <v>3.2</v>
      </c>
      <c r="AJ221" s="615">
        <v>3.2</v>
      </c>
      <c r="AK221" s="615">
        <v>3.2</v>
      </c>
      <c r="AL221" s="615">
        <v>3.2</v>
      </c>
      <c r="AM221" s="615">
        <v>3.2</v>
      </c>
      <c r="AN221" s="615">
        <v>3.2</v>
      </c>
      <c r="AO221" s="615">
        <v>3.2</v>
      </c>
      <c r="AP221" s="615">
        <v>3.2</v>
      </c>
      <c r="AQ221" s="615">
        <v>3.2</v>
      </c>
      <c r="AR221" s="615">
        <v>3.2</v>
      </c>
      <c r="AS221" s="615">
        <v>3.2</v>
      </c>
      <c r="AT221" s="615">
        <v>3.2</v>
      </c>
      <c r="AU221" s="615">
        <v>3.2</v>
      </c>
      <c r="AV221" s="615">
        <v>3.2</v>
      </c>
      <c r="AW221" s="615">
        <v>3.2</v>
      </c>
      <c r="AX221" s="615">
        <v>3.2</v>
      </c>
      <c r="AY221" s="615">
        <v>3.2</v>
      </c>
      <c r="AZ221" s="615">
        <v>3.2</v>
      </c>
      <c r="BA221" s="615">
        <v>3.2</v>
      </c>
      <c r="BB221" s="615">
        <v>3.2</v>
      </c>
      <c r="BC221" s="615">
        <v>3.2</v>
      </c>
      <c r="BD221" s="615">
        <v>3.2</v>
      </c>
      <c r="BE221" s="615">
        <v>3.2</v>
      </c>
      <c r="BF221" s="615">
        <v>3.2</v>
      </c>
      <c r="BG221" s="615">
        <v>3.2</v>
      </c>
      <c r="BH221" s="615">
        <v>3.2</v>
      </c>
      <c r="BI221" s="615">
        <v>3.2</v>
      </c>
      <c r="BJ221" s="615">
        <v>3.2</v>
      </c>
      <c r="BK221" s="615">
        <v>3.2</v>
      </c>
      <c r="BL221" s="615">
        <v>3.2</v>
      </c>
      <c r="BM221" s="615">
        <v>3.2</v>
      </c>
      <c r="BN221" s="615">
        <v>3.2</v>
      </c>
      <c r="BO221" s="615">
        <v>3.2</v>
      </c>
      <c r="BP221" s="615">
        <v>3.2</v>
      </c>
      <c r="BQ221" s="615">
        <v>3.2</v>
      </c>
      <c r="BR221" s="615">
        <v>3.2</v>
      </c>
      <c r="BS221" s="615">
        <v>3.2</v>
      </c>
      <c r="BT221" s="615">
        <v>3.2</v>
      </c>
      <c r="BU221" s="615">
        <v>3.2</v>
      </c>
      <c r="BV221" s="615">
        <v>3.2</v>
      </c>
      <c r="BW221" s="615">
        <v>3.2</v>
      </c>
      <c r="BX221" s="615">
        <v>3.2</v>
      </c>
      <c r="BY221" s="615">
        <v>3.2</v>
      </c>
      <c r="BZ221" s="615">
        <v>3.2</v>
      </c>
      <c r="CA221" s="615">
        <v>3.2</v>
      </c>
      <c r="CB221" s="615">
        <v>3.2</v>
      </c>
      <c r="CC221" s="615">
        <v>3.2</v>
      </c>
      <c r="CD221" s="615">
        <v>3.2</v>
      </c>
      <c r="CE221" s="615">
        <v>3.2</v>
      </c>
      <c r="CF221" s="615">
        <v>3.2</v>
      </c>
      <c r="CG221" s="615">
        <v>3.2</v>
      </c>
      <c r="CH221" s="615">
        <v>3.2</v>
      </c>
      <c r="CI221" s="615">
        <v>3.2</v>
      </c>
      <c r="CJ221" s="1410"/>
      <c r="CK221" s="605"/>
    </row>
    <row r="222" spans="1:89" s="64" customFormat="1" x14ac:dyDescent="0.35">
      <c r="A222" s="58"/>
      <c r="B222" s="911" t="s">
        <v>341</v>
      </c>
      <c r="C222" s="912" t="s">
        <v>342</v>
      </c>
      <c r="D222" s="912" t="s">
        <v>343</v>
      </c>
      <c r="E222" s="913" t="s">
        <v>305</v>
      </c>
      <c r="F222" s="908">
        <v>2</v>
      </c>
      <c r="G222" s="618">
        <f>(G211+G213)-(G220+G221)</f>
        <v>137.94</v>
      </c>
      <c r="H222" s="618">
        <f t="shared" ref="H222:BS222" si="169">(H211+H213)-(H220+H221)</f>
        <v>137.94</v>
      </c>
      <c r="I222" s="618">
        <f t="shared" si="169"/>
        <v>137.94</v>
      </c>
      <c r="J222" s="618">
        <f t="shared" si="169"/>
        <v>137.94</v>
      </c>
      <c r="K222" s="618">
        <f t="shared" si="169"/>
        <v>137.94</v>
      </c>
      <c r="L222" s="618">
        <f t="shared" si="169"/>
        <v>137.94</v>
      </c>
      <c r="M222" s="623">
        <f t="shared" si="169"/>
        <v>125.3878473381295</v>
      </c>
      <c r="N222" s="623">
        <f t="shared" si="169"/>
        <v>125.23994733812951</v>
      </c>
      <c r="O222" s="623">
        <f t="shared" si="169"/>
        <v>124.7320473381295</v>
      </c>
      <c r="P222" s="623">
        <f t="shared" si="169"/>
        <v>124.58414733812951</v>
      </c>
      <c r="Q222" s="623">
        <f t="shared" si="169"/>
        <v>124.4362473381295</v>
      </c>
      <c r="R222" s="623">
        <f t="shared" si="169"/>
        <v>106.27834733812951</v>
      </c>
      <c r="S222" s="623">
        <f t="shared" si="169"/>
        <v>106.1304473381295</v>
      </c>
      <c r="T222" s="623">
        <f t="shared" si="169"/>
        <v>105.98254733812951</v>
      </c>
      <c r="U222" s="623">
        <f t="shared" si="169"/>
        <v>105.8346473381295</v>
      </c>
      <c r="V222" s="623">
        <f t="shared" si="169"/>
        <v>105.68674733812951</v>
      </c>
      <c r="W222" s="623">
        <f t="shared" si="169"/>
        <v>105.5388473381295</v>
      </c>
      <c r="X222" s="623">
        <f t="shared" si="169"/>
        <v>105.39094733812951</v>
      </c>
      <c r="Y222" s="623">
        <f t="shared" si="169"/>
        <v>105.2430473381295</v>
      </c>
      <c r="Z222" s="623">
        <f t="shared" si="169"/>
        <v>105.09514733812951</v>
      </c>
      <c r="AA222" s="623">
        <f t="shared" si="169"/>
        <v>104.9472473381295</v>
      </c>
      <c r="AB222" s="623">
        <f t="shared" si="169"/>
        <v>72.91</v>
      </c>
      <c r="AC222" s="623">
        <f t="shared" si="169"/>
        <v>72.91</v>
      </c>
      <c r="AD222" s="623">
        <f t="shared" si="169"/>
        <v>72.91</v>
      </c>
      <c r="AE222" s="623">
        <f t="shared" si="169"/>
        <v>72.91</v>
      </c>
      <c r="AF222" s="623">
        <f t="shared" si="169"/>
        <v>72.91</v>
      </c>
      <c r="AG222" s="623">
        <f t="shared" si="169"/>
        <v>72.91</v>
      </c>
      <c r="AH222" s="623">
        <f t="shared" si="169"/>
        <v>72.91</v>
      </c>
      <c r="AI222" s="623">
        <f t="shared" si="169"/>
        <v>72.91</v>
      </c>
      <c r="AJ222" s="623">
        <f t="shared" si="169"/>
        <v>72.91</v>
      </c>
      <c r="AK222" s="623">
        <f t="shared" si="169"/>
        <v>72.91</v>
      </c>
      <c r="AL222" s="623">
        <f t="shared" si="169"/>
        <v>72.91</v>
      </c>
      <c r="AM222" s="623">
        <f t="shared" si="169"/>
        <v>72.91</v>
      </c>
      <c r="AN222" s="623">
        <f t="shared" si="169"/>
        <v>72.91</v>
      </c>
      <c r="AO222" s="623">
        <f t="shared" si="169"/>
        <v>72.91</v>
      </c>
      <c r="AP222" s="623">
        <f t="shared" si="169"/>
        <v>72.91</v>
      </c>
      <c r="AQ222" s="623">
        <f t="shared" si="169"/>
        <v>72.91</v>
      </c>
      <c r="AR222" s="623">
        <f t="shared" si="169"/>
        <v>72.91</v>
      </c>
      <c r="AS222" s="623">
        <f t="shared" si="169"/>
        <v>72.91</v>
      </c>
      <c r="AT222" s="623">
        <f t="shared" si="169"/>
        <v>72.91</v>
      </c>
      <c r="AU222" s="623">
        <f t="shared" si="169"/>
        <v>72.91</v>
      </c>
      <c r="AV222" s="623">
        <f t="shared" si="169"/>
        <v>72.91</v>
      </c>
      <c r="AW222" s="623">
        <f t="shared" si="169"/>
        <v>72.91</v>
      </c>
      <c r="AX222" s="623">
        <f t="shared" si="169"/>
        <v>72.91</v>
      </c>
      <c r="AY222" s="623">
        <f t="shared" si="169"/>
        <v>72.91</v>
      </c>
      <c r="AZ222" s="623">
        <f t="shared" si="169"/>
        <v>72.91</v>
      </c>
      <c r="BA222" s="623">
        <f t="shared" si="169"/>
        <v>72.91</v>
      </c>
      <c r="BB222" s="623">
        <f t="shared" si="169"/>
        <v>72.91</v>
      </c>
      <c r="BC222" s="623">
        <f t="shared" si="169"/>
        <v>72.91</v>
      </c>
      <c r="BD222" s="623">
        <f t="shared" si="169"/>
        <v>72.91</v>
      </c>
      <c r="BE222" s="623">
        <f t="shared" si="169"/>
        <v>72.91</v>
      </c>
      <c r="BF222" s="623">
        <f t="shared" si="169"/>
        <v>72.91</v>
      </c>
      <c r="BG222" s="623">
        <f t="shared" si="169"/>
        <v>72.91</v>
      </c>
      <c r="BH222" s="623">
        <f t="shared" si="169"/>
        <v>72.91</v>
      </c>
      <c r="BI222" s="623">
        <f t="shared" si="169"/>
        <v>72.91</v>
      </c>
      <c r="BJ222" s="623">
        <f t="shared" si="169"/>
        <v>72.91</v>
      </c>
      <c r="BK222" s="623">
        <f t="shared" si="169"/>
        <v>72.91</v>
      </c>
      <c r="BL222" s="623">
        <f t="shared" si="169"/>
        <v>72.91</v>
      </c>
      <c r="BM222" s="623">
        <f t="shared" si="169"/>
        <v>72.91</v>
      </c>
      <c r="BN222" s="623">
        <f t="shared" si="169"/>
        <v>72.91</v>
      </c>
      <c r="BO222" s="623">
        <f t="shared" si="169"/>
        <v>72.91</v>
      </c>
      <c r="BP222" s="623">
        <f t="shared" si="169"/>
        <v>72.91</v>
      </c>
      <c r="BQ222" s="623">
        <f t="shared" si="169"/>
        <v>72.91</v>
      </c>
      <c r="BR222" s="623">
        <f t="shared" si="169"/>
        <v>72.91</v>
      </c>
      <c r="BS222" s="623">
        <f t="shared" si="169"/>
        <v>72.91</v>
      </c>
      <c r="BT222" s="623">
        <f t="shared" ref="BT222:CI222" si="170">(BT211+BT213)-(BT220+BT221)</f>
        <v>72.91</v>
      </c>
      <c r="BU222" s="623">
        <f t="shared" si="170"/>
        <v>72.91</v>
      </c>
      <c r="BV222" s="623">
        <f t="shared" si="170"/>
        <v>72.91</v>
      </c>
      <c r="BW222" s="623">
        <f t="shared" si="170"/>
        <v>72.91</v>
      </c>
      <c r="BX222" s="623">
        <f t="shared" si="170"/>
        <v>72.91</v>
      </c>
      <c r="BY222" s="623">
        <f t="shared" si="170"/>
        <v>72.91</v>
      </c>
      <c r="BZ222" s="623">
        <f t="shared" si="170"/>
        <v>72.91</v>
      </c>
      <c r="CA222" s="623">
        <f t="shared" si="170"/>
        <v>72.91</v>
      </c>
      <c r="CB222" s="623">
        <f t="shared" si="170"/>
        <v>72.91</v>
      </c>
      <c r="CC222" s="623">
        <f t="shared" si="170"/>
        <v>72.91</v>
      </c>
      <c r="CD222" s="623">
        <f t="shared" si="170"/>
        <v>72.91</v>
      </c>
      <c r="CE222" s="623">
        <f t="shared" si="170"/>
        <v>72.91</v>
      </c>
      <c r="CF222" s="623">
        <f t="shared" si="170"/>
        <v>72.91</v>
      </c>
      <c r="CG222" s="623">
        <f t="shared" si="170"/>
        <v>72.91</v>
      </c>
      <c r="CH222" s="623">
        <f t="shared" si="170"/>
        <v>72.91</v>
      </c>
      <c r="CI222" s="619">
        <f t="shared" si="170"/>
        <v>72.91</v>
      </c>
      <c r="CJ222" s="1410"/>
      <c r="CK222" s="605"/>
    </row>
    <row r="223" spans="1:89" s="64" customFormat="1" ht="14.5" thickBot="1" x14ac:dyDescent="0.4">
      <c r="A223" s="58"/>
      <c r="B223" s="914" t="s">
        <v>344</v>
      </c>
      <c r="C223" s="915" t="s">
        <v>345</v>
      </c>
      <c r="D223" s="915" t="s">
        <v>346</v>
      </c>
      <c r="E223" s="916" t="s">
        <v>305</v>
      </c>
      <c r="F223" s="917">
        <v>2</v>
      </c>
      <c r="G223" s="630">
        <f>G222+SUM(G207:G210)</f>
        <v>137.38</v>
      </c>
      <c r="H223" s="630">
        <f t="shared" ref="H223:BS223" si="171">H222+SUM(H207:H210)</f>
        <v>137.38</v>
      </c>
      <c r="I223" s="630">
        <f t="shared" si="171"/>
        <v>137.38</v>
      </c>
      <c r="J223" s="630">
        <f t="shared" si="171"/>
        <v>137.38</v>
      </c>
      <c r="K223" s="630">
        <f t="shared" si="171"/>
        <v>137.38</v>
      </c>
      <c r="L223" s="630">
        <f t="shared" si="171"/>
        <v>137.38</v>
      </c>
      <c r="M223" s="630">
        <f t="shared" si="171"/>
        <v>124.8278473381295</v>
      </c>
      <c r="N223" s="630">
        <f t="shared" si="171"/>
        <v>124.67994733812951</v>
      </c>
      <c r="O223" s="630">
        <f t="shared" si="171"/>
        <v>124.1720473381295</v>
      </c>
      <c r="P223" s="630">
        <f t="shared" si="171"/>
        <v>124.02414733812951</v>
      </c>
      <c r="Q223" s="630">
        <f t="shared" si="171"/>
        <v>123.8762473381295</v>
      </c>
      <c r="R223" s="630">
        <f t="shared" si="171"/>
        <v>105.7183473381295</v>
      </c>
      <c r="S223" s="630">
        <f t="shared" si="171"/>
        <v>105.5704473381295</v>
      </c>
      <c r="T223" s="630">
        <f t="shared" si="171"/>
        <v>105.4225473381295</v>
      </c>
      <c r="U223" s="630">
        <f t="shared" si="171"/>
        <v>105.2746473381295</v>
      </c>
      <c r="V223" s="630">
        <f t="shared" si="171"/>
        <v>105.1267473381295</v>
      </c>
      <c r="W223" s="630">
        <f t="shared" si="171"/>
        <v>104.9788473381295</v>
      </c>
      <c r="X223" s="630">
        <f t="shared" si="171"/>
        <v>104.8309473381295</v>
      </c>
      <c r="Y223" s="630">
        <f t="shared" si="171"/>
        <v>104.6830473381295</v>
      </c>
      <c r="Z223" s="630">
        <f t="shared" si="171"/>
        <v>104.53514733812951</v>
      </c>
      <c r="AA223" s="630">
        <f t="shared" si="171"/>
        <v>104.3872473381295</v>
      </c>
      <c r="AB223" s="630">
        <f t="shared" si="171"/>
        <v>72.349999999999994</v>
      </c>
      <c r="AC223" s="630">
        <f t="shared" si="171"/>
        <v>72.349999999999994</v>
      </c>
      <c r="AD223" s="630">
        <f t="shared" si="171"/>
        <v>72.349999999999994</v>
      </c>
      <c r="AE223" s="630">
        <f t="shared" si="171"/>
        <v>72.349999999999994</v>
      </c>
      <c r="AF223" s="630">
        <f t="shared" si="171"/>
        <v>72.349999999999994</v>
      </c>
      <c r="AG223" s="630">
        <f t="shared" si="171"/>
        <v>72.349999999999994</v>
      </c>
      <c r="AH223" s="630">
        <f t="shared" si="171"/>
        <v>72.349999999999994</v>
      </c>
      <c r="AI223" s="630">
        <f t="shared" si="171"/>
        <v>72.349999999999994</v>
      </c>
      <c r="AJ223" s="630">
        <f t="shared" si="171"/>
        <v>72.349999999999994</v>
      </c>
      <c r="AK223" s="630">
        <f t="shared" si="171"/>
        <v>72.349999999999994</v>
      </c>
      <c r="AL223" s="630">
        <f t="shared" si="171"/>
        <v>72.349999999999994</v>
      </c>
      <c r="AM223" s="630">
        <f t="shared" si="171"/>
        <v>72.349999999999994</v>
      </c>
      <c r="AN223" s="630">
        <f t="shared" si="171"/>
        <v>72.349999999999994</v>
      </c>
      <c r="AO223" s="630">
        <f t="shared" si="171"/>
        <v>72.349999999999994</v>
      </c>
      <c r="AP223" s="630">
        <f t="shared" si="171"/>
        <v>72.349999999999994</v>
      </c>
      <c r="AQ223" s="630">
        <f t="shared" si="171"/>
        <v>72.349999999999994</v>
      </c>
      <c r="AR223" s="630">
        <f t="shared" si="171"/>
        <v>72.349999999999994</v>
      </c>
      <c r="AS223" s="630">
        <f t="shared" si="171"/>
        <v>72.349999999999994</v>
      </c>
      <c r="AT223" s="630">
        <f t="shared" si="171"/>
        <v>72.349999999999994</v>
      </c>
      <c r="AU223" s="630">
        <f t="shared" si="171"/>
        <v>72.349999999999994</v>
      </c>
      <c r="AV223" s="630">
        <f t="shared" si="171"/>
        <v>72.349999999999994</v>
      </c>
      <c r="AW223" s="630">
        <f t="shared" si="171"/>
        <v>72.349999999999994</v>
      </c>
      <c r="AX223" s="630">
        <f t="shared" si="171"/>
        <v>72.349999999999994</v>
      </c>
      <c r="AY223" s="630">
        <f t="shared" si="171"/>
        <v>72.349999999999994</v>
      </c>
      <c r="AZ223" s="630">
        <f t="shared" si="171"/>
        <v>72.349999999999994</v>
      </c>
      <c r="BA223" s="630">
        <f t="shared" si="171"/>
        <v>72.349999999999994</v>
      </c>
      <c r="BB223" s="630">
        <f t="shared" si="171"/>
        <v>72.349999999999994</v>
      </c>
      <c r="BC223" s="630">
        <f t="shared" si="171"/>
        <v>72.349999999999994</v>
      </c>
      <c r="BD223" s="630">
        <f t="shared" si="171"/>
        <v>72.349999999999994</v>
      </c>
      <c r="BE223" s="630">
        <f t="shared" si="171"/>
        <v>72.349999999999994</v>
      </c>
      <c r="BF223" s="630">
        <f t="shared" si="171"/>
        <v>72.349999999999994</v>
      </c>
      <c r="BG223" s="630">
        <f t="shared" si="171"/>
        <v>72.349999999999994</v>
      </c>
      <c r="BH223" s="630">
        <f t="shared" si="171"/>
        <v>72.349999999999994</v>
      </c>
      <c r="BI223" s="630">
        <f t="shared" si="171"/>
        <v>72.349999999999994</v>
      </c>
      <c r="BJ223" s="630">
        <f t="shared" si="171"/>
        <v>72.349999999999994</v>
      </c>
      <c r="BK223" s="630">
        <f t="shared" si="171"/>
        <v>72.349999999999994</v>
      </c>
      <c r="BL223" s="630">
        <f t="shared" si="171"/>
        <v>72.349999999999994</v>
      </c>
      <c r="BM223" s="630">
        <f t="shared" si="171"/>
        <v>72.349999999999994</v>
      </c>
      <c r="BN223" s="630">
        <f t="shared" si="171"/>
        <v>72.349999999999994</v>
      </c>
      <c r="BO223" s="630">
        <f t="shared" si="171"/>
        <v>72.349999999999994</v>
      </c>
      <c r="BP223" s="630">
        <f t="shared" si="171"/>
        <v>72.349999999999994</v>
      </c>
      <c r="BQ223" s="630">
        <f t="shared" si="171"/>
        <v>72.349999999999994</v>
      </c>
      <c r="BR223" s="630">
        <f t="shared" si="171"/>
        <v>72.349999999999994</v>
      </c>
      <c r="BS223" s="630">
        <f t="shared" si="171"/>
        <v>72.349999999999994</v>
      </c>
      <c r="BT223" s="630">
        <f t="shared" ref="BT223:CI223" si="172">BT222+SUM(BT207:BT210)</f>
        <v>72.349999999999994</v>
      </c>
      <c r="BU223" s="630">
        <f t="shared" si="172"/>
        <v>72.349999999999994</v>
      </c>
      <c r="BV223" s="630">
        <f t="shared" si="172"/>
        <v>72.349999999999994</v>
      </c>
      <c r="BW223" s="630">
        <f t="shared" si="172"/>
        <v>72.349999999999994</v>
      </c>
      <c r="BX223" s="630">
        <f t="shared" si="172"/>
        <v>72.349999999999994</v>
      </c>
      <c r="BY223" s="630">
        <f t="shared" si="172"/>
        <v>72.349999999999994</v>
      </c>
      <c r="BZ223" s="630">
        <f t="shared" si="172"/>
        <v>72.349999999999994</v>
      </c>
      <c r="CA223" s="630">
        <f t="shared" si="172"/>
        <v>72.349999999999994</v>
      </c>
      <c r="CB223" s="630">
        <f t="shared" si="172"/>
        <v>72.349999999999994</v>
      </c>
      <c r="CC223" s="630">
        <f t="shared" si="172"/>
        <v>72.349999999999994</v>
      </c>
      <c r="CD223" s="630">
        <f t="shared" si="172"/>
        <v>72.349999999999994</v>
      </c>
      <c r="CE223" s="630">
        <f t="shared" si="172"/>
        <v>72.349999999999994</v>
      </c>
      <c r="CF223" s="630">
        <f t="shared" si="172"/>
        <v>72.349999999999994</v>
      </c>
      <c r="CG223" s="630">
        <f t="shared" si="172"/>
        <v>72.349999999999994</v>
      </c>
      <c r="CH223" s="630">
        <f t="shared" si="172"/>
        <v>72.349999999999994</v>
      </c>
      <c r="CI223" s="630">
        <f t="shared" si="172"/>
        <v>72.349999999999994</v>
      </c>
      <c r="CJ223" s="1410"/>
      <c r="CK223" s="605"/>
    </row>
    <row r="224" spans="1:89" s="1621" customFormat="1" x14ac:dyDescent="0.35">
      <c r="A224" s="1618"/>
      <c r="B224" s="918" t="s">
        <v>347</v>
      </c>
      <c r="C224" s="919" t="s">
        <v>348</v>
      </c>
      <c r="D224" s="924" t="s">
        <v>82</v>
      </c>
      <c r="E224" s="920" t="s">
        <v>305</v>
      </c>
      <c r="F224" s="921">
        <v>2</v>
      </c>
      <c r="G224" s="602">
        <v>21.64</v>
      </c>
      <c r="H224" s="602">
        <v>23.063559690000002</v>
      </c>
      <c r="I224" s="602">
        <v>23.70723061</v>
      </c>
      <c r="J224" s="602">
        <v>24.74716566</v>
      </c>
      <c r="K224" s="602">
        <v>26.008108379999999</v>
      </c>
      <c r="L224" s="602">
        <v>26.981185669999999</v>
      </c>
      <c r="M224" s="603">
        <v>27.62995214</v>
      </c>
      <c r="N224" s="603">
        <v>28.29720137</v>
      </c>
      <c r="O224" s="603">
        <v>28.960065119999999</v>
      </c>
      <c r="P224" s="603">
        <v>29.568994180000001</v>
      </c>
      <c r="Q224" s="603">
        <v>30.132555440000001</v>
      </c>
      <c r="R224" s="603">
        <v>30.69961717</v>
      </c>
      <c r="S224" s="603">
        <v>31.21580221</v>
      </c>
      <c r="T224" s="603">
        <v>31.69902935</v>
      </c>
      <c r="U224" s="603">
        <v>32.229928450000003</v>
      </c>
      <c r="V224" s="603">
        <v>32.693209850000002</v>
      </c>
      <c r="W224" s="603">
        <v>33.177829459999998</v>
      </c>
      <c r="X224" s="603">
        <v>33.67051738</v>
      </c>
      <c r="Y224" s="603">
        <v>34.139892590000002</v>
      </c>
      <c r="Z224" s="603">
        <v>34.572552450000003</v>
      </c>
      <c r="AA224" s="603">
        <v>34.647216579999998</v>
      </c>
      <c r="AB224" s="603">
        <v>34.721880710000001</v>
      </c>
      <c r="AC224" s="603">
        <v>34.796544840000003</v>
      </c>
      <c r="AD224" s="603">
        <v>34.871208969999998</v>
      </c>
      <c r="AE224" s="603">
        <v>34.9458731</v>
      </c>
      <c r="AF224" s="603">
        <v>35.020537230000002</v>
      </c>
      <c r="AG224" s="603">
        <v>35.095201359999997</v>
      </c>
      <c r="AH224" s="603">
        <v>35.169865489999999</v>
      </c>
      <c r="AI224" s="603">
        <v>35.244529620000002</v>
      </c>
      <c r="AJ224" s="603">
        <v>35.319193749999997</v>
      </c>
      <c r="AK224" s="603">
        <v>35.393857879999999</v>
      </c>
      <c r="AL224" s="603">
        <v>35.468522010000001</v>
      </c>
      <c r="AM224" s="603">
        <v>35.543186140000003</v>
      </c>
      <c r="AN224" s="603">
        <v>35.617850269999998</v>
      </c>
      <c r="AO224" s="603">
        <v>35.6925144</v>
      </c>
      <c r="AP224" s="603">
        <v>35.767178530000002</v>
      </c>
      <c r="AQ224" s="603">
        <v>35.841842659999998</v>
      </c>
      <c r="AR224" s="603">
        <v>35.91650679</v>
      </c>
      <c r="AS224" s="603">
        <v>35.991170920000002</v>
      </c>
      <c r="AT224" s="603">
        <v>36.065835049999997</v>
      </c>
      <c r="AU224" s="603">
        <v>36.14049919</v>
      </c>
      <c r="AV224" s="603">
        <v>36.215163320000002</v>
      </c>
      <c r="AW224" s="603">
        <v>36.289827449999997</v>
      </c>
      <c r="AX224" s="603">
        <v>36.364491579999999</v>
      </c>
      <c r="AY224" s="603">
        <v>36.439155710000001</v>
      </c>
      <c r="AZ224" s="603">
        <v>36.513819839999996</v>
      </c>
      <c r="BA224" s="603">
        <v>36.588483969999999</v>
      </c>
      <c r="BB224" s="603">
        <v>36.663148100000001</v>
      </c>
      <c r="BC224" s="603">
        <v>36.737812230000003</v>
      </c>
      <c r="BD224" s="603">
        <v>36.812476359999998</v>
      </c>
      <c r="BE224" s="603">
        <v>36.88714049</v>
      </c>
      <c r="BF224" s="603">
        <v>36.961804620000002</v>
      </c>
      <c r="BG224" s="603">
        <v>37.036468749999997</v>
      </c>
      <c r="BH224" s="603">
        <v>37.11113288</v>
      </c>
      <c r="BI224" s="603">
        <v>37.185797010000002</v>
      </c>
      <c r="BJ224" s="603">
        <v>37.260461139999997</v>
      </c>
      <c r="BK224" s="603">
        <v>37.335125269999999</v>
      </c>
      <c r="BL224" s="603">
        <v>37.409789400000001</v>
      </c>
      <c r="BM224" s="603">
        <v>37.484453530000003</v>
      </c>
      <c r="BN224" s="603">
        <v>37.559117659999998</v>
      </c>
      <c r="BO224" s="603">
        <v>37.63378179</v>
      </c>
      <c r="BP224" s="603">
        <v>37.708445920000003</v>
      </c>
      <c r="BQ224" s="603">
        <v>37.783110049999998</v>
      </c>
      <c r="BR224" s="603">
        <v>37.85777418</v>
      </c>
      <c r="BS224" s="603">
        <v>37.932438310000002</v>
      </c>
      <c r="BT224" s="603">
        <v>38.007102439999997</v>
      </c>
      <c r="BU224" s="603">
        <v>38.081766569999999</v>
      </c>
      <c r="BV224" s="603">
        <v>38.156430700000001</v>
      </c>
      <c r="BW224" s="603">
        <v>38.231094830000004</v>
      </c>
      <c r="BX224" s="603">
        <v>38.305758959999999</v>
      </c>
      <c r="BY224" s="603">
        <v>38.380423090000001</v>
      </c>
      <c r="BZ224" s="603">
        <v>38.455087220000003</v>
      </c>
      <c r="CA224" s="603">
        <v>38.529751349999998</v>
      </c>
      <c r="CB224" s="603">
        <v>38.60441548</v>
      </c>
      <c r="CC224" s="603">
        <v>38.679079610000002</v>
      </c>
      <c r="CD224" s="603">
        <v>38.753743739999997</v>
      </c>
      <c r="CE224" s="603">
        <v>38.828407869999999</v>
      </c>
      <c r="CF224" s="603">
        <v>38.903072000000002</v>
      </c>
      <c r="CG224" s="603">
        <v>38.977736129999997</v>
      </c>
      <c r="CH224" s="603">
        <v>38.977736129999997</v>
      </c>
      <c r="CI224" s="604">
        <v>38.977736129999997</v>
      </c>
      <c r="CJ224" s="1619"/>
      <c r="CK224" s="1620"/>
    </row>
    <row r="225" spans="1:89" s="1621" customFormat="1" ht="28" x14ac:dyDescent="0.35">
      <c r="A225" s="1618"/>
      <c r="B225" s="922" t="s">
        <v>349</v>
      </c>
      <c r="C225" s="923" t="s">
        <v>350</v>
      </c>
      <c r="D225" s="924" t="s">
        <v>82</v>
      </c>
      <c r="E225" s="925" t="s">
        <v>305</v>
      </c>
      <c r="F225" s="926">
        <v>2</v>
      </c>
      <c r="G225" s="1102"/>
      <c r="H225" s="1102"/>
      <c r="I225" s="1102"/>
      <c r="J225" s="1102"/>
      <c r="K225" s="1102"/>
      <c r="L225" s="1102"/>
      <c r="M225" s="1103"/>
      <c r="N225" s="1103"/>
      <c r="O225" s="1103"/>
      <c r="P225" s="1103"/>
      <c r="Q225" s="1103"/>
      <c r="R225" s="1103"/>
      <c r="S225" s="1103"/>
      <c r="T225" s="1103"/>
      <c r="U225" s="1103"/>
      <c r="V225" s="1103"/>
      <c r="W225" s="1103"/>
      <c r="X225" s="1103"/>
      <c r="Y225" s="1103"/>
      <c r="Z225" s="1103"/>
      <c r="AA225" s="1103"/>
      <c r="AB225" s="1103"/>
      <c r="AC225" s="1103"/>
      <c r="AD225" s="1103"/>
      <c r="AE225" s="1103"/>
      <c r="AF225" s="1103"/>
      <c r="AG225" s="1103"/>
      <c r="AH225" s="1103"/>
      <c r="AI225" s="1103"/>
      <c r="AJ225" s="1103"/>
      <c r="AK225" s="1103"/>
      <c r="AL225" s="1103"/>
      <c r="AM225" s="1103"/>
      <c r="AN225" s="1103"/>
      <c r="AO225" s="1103"/>
      <c r="AP225" s="1103"/>
      <c r="AQ225" s="1103"/>
      <c r="AR225" s="1103"/>
      <c r="AS225" s="1103"/>
      <c r="AT225" s="1103"/>
      <c r="AU225" s="1103"/>
      <c r="AV225" s="1103"/>
      <c r="AW225" s="1103"/>
      <c r="AX225" s="1103"/>
      <c r="AY225" s="1103"/>
      <c r="AZ225" s="1103"/>
      <c r="BA225" s="1103"/>
      <c r="BB225" s="1103"/>
      <c r="BC225" s="1103"/>
      <c r="BD225" s="1103"/>
      <c r="BE225" s="1103"/>
      <c r="BF225" s="1103"/>
      <c r="BG225" s="1103"/>
      <c r="BH225" s="1103"/>
      <c r="BI225" s="1103"/>
      <c r="BJ225" s="1103"/>
      <c r="BK225" s="1103"/>
      <c r="BL225" s="1103"/>
      <c r="BM225" s="1103"/>
      <c r="BN225" s="1103"/>
      <c r="BO225" s="1103"/>
      <c r="BP225" s="1103"/>
      <c r="BQ225" s="1103"/>
      <c r="BR225" s="1103"/>
      <c r="BS225" s="1103"/>
      <c r="BT225" s="1103"/>
      <c r="BU225" s="1103"/>
      <c r="BV225" s="1103"/>
      <c r="BW225" s="1103"/>
      <c r="BX225" s="1103"/>
      <c r="BY225" s="1103"/>
      <c r="BZ225" s="1103"/>
      <c r="CA225" s="1103"/>
      <c r="CB225" s="1103"/>
      <c r="CC225" s="1103"/>
      <c r="CD225" s="1103"/>
      <c r="CE225" s="1103"/>
      <c r="CF225" s="1103"/>
      <c r="CG225" s="1103"/>
      <c r="CH225" s="1103"/>
      <c r="CI225" s="1104"/>
      <c r="CJ225" s="1619"/>
      <c r="CK225" s="1620"/>
    </row>
    <row r="226" spans="1:89" s="1621" customFormat="1" x14ac:dyDescent="0.35">
      <c r="A226" s="1618"/>
      <c r="B226" s="922" t="s">
        <v>351</v>
      </c>
      <c r="C226" s="923" t="s">
        <v>352</v>
      </c>
      <c r="D226" s="924" t="s">
        <v>82</v>
      </c>
      <c r="E226" s="925" t="s">
        <v>305</v>
      </c>
      <c r="F226" s="926">
        <v>2</v>
      </c>
      <c r="G226" s="611">
        <v>1.01</v>
      </c>
      <c r="H226" s="611">
        <v>1.01</v>
      </c>
      <c r="I226" s="611">
        <v>1.01</v>
      </c>
      <c r="J226" s="611">
        <v>1.01</v>
      </c>
      <c r="K226" s="611">
        <v>1.01</v>
      </c>
      <c r="L226" s="611">
        <v>1.01</v>
      </c>
      <c r="M226" s="615">
        <v>1.01</v>
      </c>
      <c r="N226" s="615">
        <v>1.01</v>
      </c>
      <c r="O226" s="615">
        <v>1.01</v>
      </c>
      <c r="P226" s="615">
        <v>1.01</v>
      </c>
      <c r="Q226" s="615">
        <v>1.01</v>
      </c>
      <c r="R226" s="615">
        <v>1.01</v>
      </c>
      <c r="S226" s="615">
        <v>1.01</v>
      </c>
      <c r="T226" s="615">
        <v>1.01</v>
      </c>
      <c r="U226" s="615">
        <v>1.01</v>
      </c>
      <c r="V226" s="615">
        <v>1.01</v>
      </c>
      <c r="W226" s="615">
        <v>1.01</v>
      </c>
      <c r="X226" s="615">
        <v>1.01</v>
      </c>
      <c r="Y226" s="615">
        <v>1.01</v>
      </c>
      <c r="Z226" s="615">
        <v>1.01</v>
      </c>
      <c r="AA226" s="615">
        <v>1.0122954040000001</v>
      </c>
      <c r="AB226" s="615">
        <v>1.014590809</v>
      </c>
      <c r="AC226" s="615">
        <v>1.016886213</v>
      </c>
      <c r="AD226" s="615">
        <v>1.019181618</v>
      </c>
      <c r="AE226" s="615">
        <v>1.021477022</v>
      </c>
      <c r="AF226" s="615">
        <v>1.0237724269999999</v>
      </c>
      <c r="AG226" s="615">
        <v>1.026067831</v>
      </c>
      <c r="AH226" s="615">
        <v>1.0283632359999999</v>
      </c>
      <c r="AI226" s="615">
        <v>1.03065864</v>
      </c>
      <c r="AJ226" s="615">
        <v>1.0329540450000001</v>
      </c>
      <c r="AK226" s="615">
        <v>1.0352494489999999</v>
      </c>
      <c r="AL226" s="615">
        <v>1.0375448540000001</v>
      </c>
      <c r="AM226" s="615">
        <v>1.0398402579999999</v>
      </c>
      <c r="AN226" s="615">
        <v>1.042135663</v>
      </c>
      <c r="AO226" s="615">
        <v>1.0444310670000001</v>
      </c>
      <c r="AP226" s="615">
        <v>1.0467264709999999</v>
      </c>
      <c r="AQ226" s="615">
        <v>1.0490218760000001</v>
      </c>
      <c r="AR226" s="615">
        <v>1.0513172799999999</v>
      </c>
      <c r="AS226" s="615">
        <v>1.053612685</v>
      </c>
      <c r="AT226" s="615">
        <v>1.0559080890000001</v>
      </c>
      <c r="AU226" s="615">
        <v>1.058203494</v>
      </c>
      <c r="AV226" s="615">
        <v>1.0604988980000001</v>
      </c>
      <c r="AW226" s="615">
        <v>1.062794303</v>
      </c>
      <c r="AX226" s="615">
        <v>1.0650897070000001</v>
      </c>
      <c r="AY226" s="615">
        <v>1.067385112</v>
      </c>
      <c r="AZ226" s="615">
        <v>1.069680516</v>
      </c>
      <c r="BA226" s="615">
        <v>1.0719759209999999</v>
      </c>
      <c r="BB226" s="615">
        <v>1.074271325</v>
      </c>
      <c r="BC226" s="615">
        <v>1.0765667290000001</v>
      </c>
      <c r="BD226" s="615">
        <v>1.078862134</v>
      </c>
      <c r="BE226" s="615">
        <v>1.081157538</v>
      </c>
      <c r="BF226" s="615">
        <v>1.0834529429999999</v>
      </c>
      <c r="BG226" s="615">
        <v>1.085748347</v>
      </c>
      <c r="BH226" s="615">
        <v>1.0880437519999999</v>
      </c>
      <c r="BI226" s="615">
        <v>1.090339156</v>
      </c>
      <c r="BJ226" s="615">
        <v>1.0926345609999999</v>
      </c>
      <c r="BK226" s="615">
        <v>1.0949299649999999</v>
      </c>
      <c r="BL226" s="615">
        <v>1.0972253700000001</v>
      </c>
      <c r="BM226" s="615">
        <v>1.0995207739999999</v>
      </c>
      <c r="BN226" s="615">
        <v>1.1018161790000001</v>
      </c>
      <c r="BO226" s="615">
        <v>1.1041115829999999</v>
      </c>
      <c r="BP226" s="615">
        <v>1.106406988</v>
      </c>
      <c r="BQ226" s="615">
        <v>1.1087023920000001</v>
      </c>
      <c r="BR226" s="615">
        <v>1.1109977959999999</v>
      </c>
      <c r="BS226" s="615">
        <v>1.1132932010000001</v>
      </c>
      <c r="BT226" s="615">
        <v>1.1155886049999999</v>
      </c>
      <c r="BU226" s="615">
        <v>1.11788401</v>
      </c>
      <c r="BV226" s="615">
        <v>1.1201794140000001</v>
      </c>
      <c r="BW226" s="615">
        <v>1.122474819</v>
      </c>
      <c r="BX226" s="615">
        <v>1.1247702230000001</v>
      </c>
      <c r="BY226" s="615">
        <v>1.127065628</v>
      </c>
      <c r="BZ226" s="615">
        <v>1.129361032</v>
      </c>
      <c r="CA226" s="615">
        <v>1.131656437</v>
      </c>
      <c r="CB226" s="615">
        <v>1.133951841</v>
      </c>
      <c r="CC226" s="615">
        <v>1.1362472459999999</v>
      </c>
      <c r="CD226" s="615">
        <v>1.13854265</v>
      </c>
      <c r="CE226" s="615">
        <v>1.1408380549999999</v>
      </c>
      <c r="CF226" s="615">
        <v>1.143133459</v>
      </c>
      <c r="CG226" s="615">
        <v>1.145428863</v>
      </c>
      <c r="CH226" s="615">
        <v>1.145428863</v>
      </c>
      <c r="CI226" s="616">
        <v>1.145428863</v>
      </c>
      <c r="CJ226" s="1619"/>
      <c r="CK226" s="1620"/>
    </row>
    <row r="227" spans="1:89" s="1621" customFormat="1" x14ac:dyDescent="0.35">
      <c r="A227" s="1618"/>
      <c r="B227" s="922" t="s">
        <v>353</v>
      </c>
      <c r="C227" s="923" t="s">
        <v>354</v>
      </c>
      <c r="D227" s="924" t="s">
        <v>2179</v>
      </c>
      <c r="E227" s="925" t="s">
        <v>305</v>
      </c>
      <c r="F227" s="926">
        <v>2</v>
      </c>
      <c r="G227" s="611">
        <v>35.619999999999997</v>
      </c>
      <c r="H227" s="611">
        <v>36.71</v>
      </c>
      <c r="I227" s="611">
        <v>43.335135340000001</v>
      </c>
      <c r="J227" s="611">
        <v>43.574823109999997</v>
      </c>
      <c r="K227" s="611">
        <v>43.48315925</v>
      </c>
      <c r="L227" s="611">
        <v>43.301026379999996</v>
      </c>
      <c r="M227" s="615">
        <v>44.762926999999998</v>
      </c>
      <c r="N227" s="615">
        <v>45.902370910000002</v>
      </c>
      <c r="O227" s="615">
        <v>47.208354229999998</v>
      </c>
      <c r="P227" s="615">
        <v>48.48361543</v>
      </c>
      <c r="Q227" s="615">
        <v>49.648119970000003</v>
      </c>
      <c r="R227" s="615">
        <v>50.657688159999999</v>
      </c>
      <c r="S227" s="615">
        <v>51.513771120000001</v>
      </c>
      <c r="T227" s="615">
        <v>52.239408920000002</v>
      </c>
      <c r="U227" s="615">
        <v>52.966634140000004</v>
      </c>
      <c r="V227" s="615">
        <v>53.699845920000001</v>
      </c>
      <c r="W227" s="615">
        <v>54.379707250000003</v>
      </c>
      <c r="X227" s="615">
        <v>55.011282119999997</v>
      </c>
      <c r="Y227" s="615">
        <v>55.600411290000004</v>
      </c>
      <c r="Z227" s="615">
        <v>56.19731281</v>
      </c>
      <c r="AA227" s="615">
        <v>56.762392949999999</v>
      </c>
      <c r="AB227" s="615">
        <v>57.324498150000004</v>
      </c>
      <c r="AC227" s="615">
        <v>57.86678869</v>
      </c>
      <c r="AD227" s="615">
        <v>58.388559540000003</v>
      </c>
      <c r="AE227" s="615">
        <v>58.894405949999999</v>
      </c>
      <c r="AF227" s="615">
        <v>59.375361789999999</v>
      </c>
      <c r="AG227" s="615">
        <v>59.826434689999999</v>
      </c>
      <c r="AH227" s="615">
        <v>60.252511769999998</v>
      </c>
      <c r="AI227" s="615">
        <v>60.662143059999998</v>
      </c>
      <c r="AJ227" s="615">
        <v>61.051180160000001</v>
      </c>
      <c r="AK227" s="615">
        <v>61.41479434</v>
      </c>
      <c r="AL227" s="615">
        <v>61.677730179999998</v>
      </c>
      <c r="AM227" s="615">
        <v>61.931003990000001</v>
      </c>
      <c r="AN227" s="615">
        <v>62.178546009999998</v>
      </c>
      <c r="AO227" s="615">
        <v>62.417949200000002</v>
      </c>
      <c r="AP227" s="615">
        <v>62.654424560000002</v>
      </c>
      <c r="AQ227" s="615">
        <v>62.886954719999999</v>
      </c>
      <c r="AR227" s="615">
        <v>63.114549830000001</v>
      </c>
      <c r="AS227" s="615">
        <v>63.329995170000004</v>
      </c>
      <c r="AT227" s="615">
        <v>63.535232690000001</v>
      </c>
      <c r="AU227" s="615">
        <v>63.736496359999997</v>
      </c>
      <c r="AV227" s="615">
        <v>63.930688449999998</v>
      </c>
      <c r="AW227" s="615">
        <v>64.119268820000002</v>
      </c>
      <c r="AX227" s="615">
        <v>64.304430569999994</v>
      </c>
      <c r="AY227" s="615">
        <v>64.486053349999992</v>
      </c>
      <c r="AZ227" s="615">
        <v>64.666356620000002</v>
      </c>
      <c r="BA227" s="615">
        <v>64.845736479999999</v>
      </c>
      <c r="BB227" s="615">
        <v>65.023650979999999</v>
      </c>
      <c r="BC227" s="615">
        <v>65.19810575999999</v>
      </c>
      <c r="BD227" s="615">
        <v>65.372216909999992</v>
      </c>
      <c r="BE227" s="615">
        <v>65.545152029999997</v>
      </c>
      <c r="BF227" s="615">
        <v>65.717472000000001</v>
      </c>
      <c r="BG227" s="615">
        <v>65.891626259999995</v>
      </c>
      <c r="BH227" s="615">
        <v>66.067162629999999</v>
      </c>
      <c r="BI227" s="615">
        <v>66.244370279999998</v>
      </c>
      <c r="BJ227" s="615">
        <v>66.421530680000004</v>
      </c>
      <c r="BK227" s="615">
        <v>66.599501050000001</v>
      </c>
      <c r="BL227" s="615">
        <v>66.777926519999994</v>
      </c>
      <c r="BM227" s="615">
        <v>66.958092899999997</v>
      </c>
      <c r="BN227" s="615">
        <v>67.141745379999989</v>
      </c>
      <c r="BO227" s="615">
        <v>67.328062189999997</v>
      </c>
      <c r="BP227" s="615">
        <v>67.518861539999989</v>
      </c>
      <c r="BQ227" s="615">
        <v>67.71303438999999</v>
      </c>
      <c r="BR227" s="615">
        <v>67.910597749999994</v>
      </c>
      <c r="BS227" s="615">
        <v>68.108565439999992</v>
      </c>
      <c r="BT227" s="615">
        <v>68.307994159999993</v>
      </c>
      <c r="BU227" s="615">
        <v>68.50852823999999</v>
      </c>
      <c r="BV227" s="615">
        <v>68.711003899999994</v>
      </c>
      <c r="BW227" s="615">
        <v>68.912306289999989</v>
      </c>
      <c r="BX227" s="615">
        <v>69.113879189999992</v>
      </c>
      <c r="BY227" s="615">
        <v>69.315581379999998</v>
      </c>
      <c r="BZ227" s="615">
        <v>69.518087789999996</v>
      </c>
      <c r="CA227" s="615">
        <v>69.719743269999995</v>
      </c>
      <c r="CB227" s="615">
        <v>69.920814349999986</v>
      </c>
      <c r="CC227" s="615">
        <v>70.118959619999998</v>
      </c>
      <c r="CD227" s="615">
        <v>70.316085099999995</v>
      </c>
      <c r="CE227" s="615">
        <v>70.510484639999987</v>
      </c>
      <c r="CF227" s="615">
        <v>70.702110829999995</v>
      </c>
      <c r="CG227" s="615">
        <v>70.88982249</v>
      </c>
      <c r="CH227" s="615">
        <v>71.074314129999991</v>
      </c>
      <c r="CI227" s="616">
        <v>71.2547876</v>
      </c>
      <c r="CJ227" s="1619"/>
      <c r="CK227" s="1620"/>
    </row>
    <row r="228" spans="1:89" s="1623" customFormat="1" x14ac:dyDescent="0.35">
      <c r="A228" s="1618"/>
      <c r="B228" s="922" t="s">
        <v>355</v>
      </c>
      <c r="C228" s="923" t="s">
        <v>356</v>
      </c>
      <c r="D228" s="924" t="s">
        <v>2179</v>
      </c>
      <c r="E228" s="925" t="s">
        <v>305</v>
      </c>
      <c r="F228" s="926">
        <v>2</v>
      </c>
      <c r="G228" s="611">
        <v>22.6</v>
      </c>
      <c r="H228" s="611">
        <v>22.16</v>
      </c>
      <c r="I228" s="611">
        <v>22.231296999999998</v>
      </c>
      <c r="J228" s="611">
        <v>21.017300630000001</v>
      </c>
      <c r="K228" s="611">
        <v>19.817311119999999</v>
      </c>
      <c r="L228" s="611">
        <v>18.671758010000001</v>
      </c>
      <c r="M228" s="615">
        <v>18.233873190000001</v>
      </c>
      <c r="N228" s="615">
        <v>17.824464410000001</v>
      </c>
      <c r="O228" s="615">
        <v>17.423743309999999</v>
      </c>
      <c r="P228" s="615">
        <v>17.029324620000001</v>
      </c>
      <c r="Q228" s="615">
        <v>16.63724126</v>
      </c>
      <c r="R228" s="615">
        <v>16.2717566</v>
      </c>
      <c r="S228" s="615">
        <v>15.90485196</v>
      </c>
      <c r="T228" s="615">
        <v>15.54053905</v>
      </c>
      <c r="U228" s="615">
        <v>15.18374036</v>
      </c>
      <c r="V228" s="615">
        <v>14.83535539</v>
      </c>
      <c r="W228" s="615">
        <v>14.495515019999999</v>
      </c>
      <c r="X228" s="615">
        <v>14.15934966</v>
      </c>
      <c r="Y228" s="615">
        <v>13.83312372</v>
      </c>
      <c r="Z228" s="615">
        <v>13.51882616</v>
      </c>
      <c r="AA228" s="615">
        <v>13.209638289999999</v>
      </c>
      <c r="AB228" s="615">
        <v>12.90889153</v>
      </c>
      <c r="AC228" s="615">
        <v>12.617328519999999</v>
      </c>
      <c r="AD228" s="615">
        <v>12.33436066</v>
      </c>
      <c r="AE228" s="615">
        <v>12.06005614</v>
      </c>
      <c r="AF228" s="615">
        <v>11.79304011</v>
      </c>
      <c r="AG228" s="615">
        <v>11.53225378</v>
      </c>
      <c r="AH228" s="615">
        <v>11.278296319999999</v>
      </c>
      <c r="AI228" s="615">
        <v>11.031699451</v>
      </c>
      <c r="AJ228" s="615">
        <v>10.791807670000001</v>
      </c>
      <c r="AK228" s="615">
        <v>10.557880942000001</v>
      </c>
      <c r="AL228" s="615">
        <v>10.343825268</v>
      </c>
      <c r="AM228" s="615">
        <v>10.135456642999999</v>
      </c>
      <c r="AN228" s="615">
        <v>9.9321968359999993</v>
      </c>
      <c r="AO228" s="615">
        <v>9.7338775870000003</v>
      </c>
      <c r="AP228" s="615">
        <v>9.540142981999999</v>
      </c>
      <c r="AQ228" s="615">
        <v>9.3505442070000004</v>
      </c>
      <c r="AR228" s="615">
        <v>9.1658012549999999</v>
      </c>
      <c r="AS228" s="615">
        <v>8.9862218980000002</v>
      </c>
      <c r="AT228" s="615">
        <v>8.8113043480000002</v>
      </c>
      <c r="AU228" s="615">
        <v>8.6405171500000009</v>
      </c>
      <c r="AV228" s="615">
        <v>8.4738691980000009</v>
      </c>
      <c r="AW228" s="615">
        <v>8.311416749000001</v>
      </c>
      <c r="AX228" s="615">
        <v>8.1528941810000006</v>
      </c>
      <c r="AY228" s="615">
        <v>7.99799214</v>
      </c>
      <c r="AZ228" s="615">
        <v>7.8466643510000003</v>
      </c>
      <c r="BA228" s="615">
        <v>7.698880344</v>
      </c>
      <c r="BB228" s="615">
        <v>7.5548896719999998</v>
      </c>
      <c r="BC228" s="615">
        <v>7.4146117990000002</v>
      </c>
      <c r="BD228" s="615">
        <v>7.2777866709999994</v>
      </c>
      <c r="BE228" s="615">
        <v>7.1443145049999996</v>
      </c>
      <c r="BF228" s="615">
        <v>7.0140996299999996</v>
      </c>
      <c r="BG228" s="615">
        <v>6.8871396740000002</v>
      </c>
      <c r="BH228" s="615">
        <v>6.7632811420000003</v>
      </c>
      <c r="BI228" s="615">
        <v>6.6425546649999996</v>
      </c>
      <c r="BJ228" s="615">
        <v>6.5249477459999996</v>
      </c>
      <c r="BK228" s="615">
        <v>6.4102156929999996</v>
      </c>
      <c r="BL228" s="615">
        <v>6.298494034</v>
      </c>
      <c r="BM228" s="615">
        <v>6.1896196029999997</v>
      </c>
      <c r="BN228" s="615">
        <v>6.0833452779999995</v>
      </c>
      <c r="BO228" s="615">
        <v>5.9796646259999999</v>
      </c>
      <c r="BP228" s="615">
        <v>5.8783077729999995</v>
      </c>
      <c r="BQ228" s="615">
        <v>5.7793137080000001</v>
      </c>
      <c r="BR228" s="615">
        <v>5.6826419489999997</v>
      </c>
      <c r="BS228" s="615">
        <v>5.5883436959999999</v>
      </c>
      <c r="BT228" s="615">
        <v>5.4962996899999998</v>
      </c>
      <c r="BU228" s="615">
        <v>5.4063970970000002</v>
      </c>
      <c r="BV228" s="615">
        <v>5.318604197</v>
      </c>
      <c r="BW228" s="615">
        <v>5.2329216519999999</v>
      </c>
      <c r="BX228" s="615">
        <v>5.1492338489999998</v>
      </c>
      <c r="BY228" s="615">
        <v>5.06746301</v>
      </c>
      <c r="BZ228" s="615">
        <v>4.987479628</v>
      </c>
      <c r="CA228" s="615">
        <v>4.9093793039999998</v>
      </c>
      <c r="CB228" s="615">
        <v>4.8331246659999998</v>
      </c>
      <c r="CC228" s="615">
        <v>4.7587949160000003</v>
      </c>
      <c r="CD228" s="615">
        <v>4.6861999350000003</v>
      </c>
      <c r="CE228" s="615">
        <v>4.6153084099999999</v>
      </c>
      <c r="CF228" s="615">
        <v>4.5461182439999996</v>
      </c>
      <c r="CG228" s="615">
        <v>4.4787028209999997</v>
      </c>
      <c r="CH228" s="615">
        <v>4.4129811019999998</v>
      </c>
      <c r="CI228" s="616">
        <v>4.3488732930000005</v>
      </c>
      <c r="CJ228" s="1619"/>
      <c r="CK228" s="1622"/>
    </row>
    <row r="229" spans="1:89" s="1621" customFormat="1" ht="28" x14ac:dyDescent="0.35">
      <c r="A229" s="1618"/>
      <c r="B229" s="922" t="s">
        <v>357</v>
      </c>
      <c r="C229" s="923" t="s">
        <v>358</v>
      </c>
      <c r="D229" s="924" t="s">
        <v>82</v>
      </c>
      <c r="E229" s="925" t="s">
        <v>359</v>
      </c>
      <c r="F229" s="926">
        <v>1</v>
      </c>
      <c r="G229" s="639">
        <v>0</v>
      </c>
      <c r="H229" s="639">
        <v>1E-3</v>
      </c>
      <c r="I229" s="639">
        <v>1E-3</v>
      </c>
      <c r="J229" s="639">
        <v>2E-3</v>
      </c>
      <c r="K229" s="639">
        <v>3.0000000000000001E-3</v>
      </c>
      <c r="L229" s="639">
        <v>4.0000000000000001E-3</v>
      </c>
      <c r="M229" s="640">
        <v>4.0000000000000001E-3</v>
      </c>
      <c r="N229" s="640">
        <v>5.0000000000000001E-3</v>
      </c>
      <c r="O229" s="640">
        <v>6.0000000000000001E-3</v>
      </c>
      <c r="P229" s="640">
        <v>6.0000000000000001E-3</v>
      </c>
      <c r="Q229" s="640">
        <v>7.0000000000000001E-3</v>
      </c>
      <c r="R229" s="640">
        <v>8.0000000000000002E-3</v>
      </c>
      <c r="S229" s="640">
        <v>8.9999999999999993E-3</v>
      </c>
      <c r="T229" s="640">
        <v>8.9999999999999993E-3</v>
      </c>
      <c r="U229" s="640">
        <v>0.01</v>
      </c>
      <c r="V229" s="640">
        <v>0.01</v>
      </c>
      <c r="W229" s="640">
        <v>1.0999999999999999E-2</v>
      </c>
      <c r="X229" s="640">
        <v>1.2E-2</v>
      </c>
      <c r="Y229" s="640">
        <v>1.2999999999999999E-2</v>
      </c>
      <c r="Z229" s="640">
        <v>1.4E-2</v>
      </c>
      <c r="AA229" s="640">
        <v>1.4E-2</v>
      </c>
      <c r="AB229" s="640">
        <v>1.4999999999999999E-2</v>
      </c>
      <c r="AC229" s="640">
        <v>1.6E-2</v>
      </c>
      <c r="AD229" s="640">
        <v>1.6E-2</v>
      </c>
      <c r="AE229" s="640">
        <v>1.7000000000000001E-2</v>
      </c>
      <c r="AF229" s="640">
        <v>1.7999999999999999E-2</v>
      </c>
      <c r="AG229" s="640">
        <v>1.7999999999999999E-2</v>
      </c>
      <c r="AH229" s="640">
        <v>1.9E-2</v>
      </c>
      <c r="AI229" s="640">
        <v>0.02</v>
      </c>
      <c r="AJ229" s="640">
        <v>0.02</v>
      </c>
      <c r="AK229" s="640">
        <v>2.1000000000000001E-2</v>
      </c>
      <c r="AL229" s="640">
        <v>2.1999999999999999E-2</v>
      </c>
      <c r="AM229" s="640">
        <v>2.3E-2</v>
      </c>
      <c r="AN229" s="640">
        <v>2.3E-2</v>
      </c>
      <c r="AO229" s="640">
        <v>2.4E-2</v>
      </c>
      <c r="AP229" s="640">
        <v>2.5000000000000001E-2</v>
      </c>
      <c r="AQ229" s="640">
        <v>2.5000000000000001E-2</v>
      </c>
      <c r="AR229" s="640">
        <v>2.5999999999999999E-2</v>
      </c>
      <c r="AS229" s="640">
        <v>2.7E-2</v>
      </c>
      <c r="AT229" s="640">
        <v>2.7E-2</v>
      </c>
      <c r="AU229" s="640">
        <v>2.8000000000000001E-2</v>
      </c>
      <c r="AV229" s="640">
        <v>2.9000000000000001E-2</v>
      </c>
      <c r="AW229" s="640">
        <v>2.9000000000000001E-2</v>
      </c>
      <c r="AX229" s="640">
        <v>0.03</v>
      </c>
      <c r="AY229" s="640">
        <v>3.1E-2</v>
      </c>
      <c r="AZ229" s="640">
        <v>3.1E-2</v>
      </c>
      <c r="BA229" s="640">
        <v>3.2000000000000001E-2</v>
      </c>
      <c r="BB229" s="640">
        <v>3.3000000000000002E-2</v>
      </c>
      <c r="BC229" s="640">
        <v>3.3000000000000002E-2</v>
      </c>
      <c r="BD229" s="640">
        <v>3.4000000000000002E-2</v>
      </c>
      <c r="BE229" s="640">
        <v>3.5000000000000003E-2</v>
      </c>
      <c r="BF229" s="640">
        <v>3.5000000000000003E-2</v>
      </c>
      <c r="BG229" s="640">
        <v>3.5999999999999997E-2</v>
      </c>
      <c r="BH229" s="640">
        <v>3.6999999999999998E-2</v>
      </c>
      <c r="BI229" s="640">
        <v>3.6999999999999998E-2</v>
      </c>
      <c r="BJ229" s="640">
        <v>3.7999999999999999E-2</v>
      </c>
      <c r="BK229" s="640">
        <v>3.9E-2</v>
      </c>
      <c r="BL229" s="640">
        <v>3.9E-2</v>
      </c>
      <c r="BM229" s="640">
        <v>0.04</v>
      </c>
      <c r="BN229" s="640">
        <v>4.1000000000000002E-2</v>
      </c>
      <c r="BO229" s="640">
        <v>4.1000000000000002E-2</v>
      </c>
      <c r="BP229" s="640">
        <v>4.2000000000000003E-2</v>
      </c>
      <c r="BQ229" s="640">
        <v>4.2999999999999997E-2</v>
      </c>
      <c r="BR229" s="640">
        <v>4.2999999999999997E-2</v>
      </c>
      <c r="BS229" s="640">
        <v>4.3999999999999997E-2</v>
      </c>
      <c r="BT229" s="640">
        <v>4.4999999999999998E-2</v>
      </c>
      <c r="BU229" s="640">
        <v>4.4999999999999998E-2</v>
      </c>
      <c r="BV229" s="640">
        <v>4.5999999999999999E-2</v>
      </c>
      <c r="BW229" s="640">
        <v>4.7E-2</v>
      </c>
      <c r="BX229" s="640">
        <v>4.7E-2</v>
      </c>
      <c r="BY229" s="640">
        <v>4.8000000000000001E-2</v>
      </c>
      <c r="BZ229" s="640">
        <v>4.9000000000000002E-2</v>
      </c>
      <c r="CA229" s="640">
        <v>4.9000000000000002E-2</v>
      </c>
      <c r="CB229" s="640">
        <v>0.05</v>
      </c>
      <c r="CC229" s="640">
        <v>5.0999999999999997E-2</v>
      </c>
      <c r="CD229" s="640">
        <v>5.0999999999999997E-2</v>
      </c>
      <c r="CE229" s="640">
        <v>5.1999999999999998E-2</v>
      </c>
      <c r="CF229" s="640">
        <v>5.2999999999999999E-2</v>
      </c>
      <c r="CG229" s="640">
        <v>5.2999999999999999E-2</v>
      </c>
      <c r="CH229" s="640">
        <v>5.3999999999999999E-2</v>
      </c>
      <c r="CI229" s="641">
        <v>5.5E-2</v>
      </c>
      <c r="CJ229" s="1619"/>
      <c r="CK229" s="1620"/>
    </row>
    <row r="230" spans="1:89" s="1621" customFormat="1" ht="28" x14ac:dyDescent="0.35">
      <c r="A230" s="1618"/>
      <c r="B230" s="922" t="s">
        <v>360</v>
      </c>
      <c r="C230" s="923" t="s">
        <v>361</v>
      </c>
      <c r="D230" s="924" t="s">
        <v>362</v>
      </c>
      <c r="E230" s="925" t="s">
        <v>305</v>
      </c>
      <c r="F230" s="926">
        <v>2</v>
      </c>
      <c r="G230" s="642">
        <f>G229*(G224+SUM(G226:G228)-SUM(G236:G239))</f>
        <v>0</v>
      </c>
      <c r="H230" s="642">
        <f t="shared" ref="H230:BS230" si="173">H229*(SUM(H224:H228)-SUM(H236:H239))</f>
        <v>7.8943559689999998E-2</v>
      </c>
      <c r="I230" s="642">
        <f t="shared" si="173"/>
        <v>8.6193662949999986E-2</v>
      </c>
      <c r="J230" s="642">
        <f t="shared" si="173"/>
        <v>0.17251857880000002</v>
      </c>
      <c r="K230" s="642">
        <f t="shared" si="173"/>
        <v>0.25868573625000002</v>
      </c>
      <c r="L230" s="642">
        <f t="shared" si="173"/>
        <v>0.34349588024</v>
      </c>
      <c r="M230" s="642">
        <f t="shared" si="173"/>
        <v>0.35018700931999996</v>
      </c>
      <c r="N230" s="642">
        <f t="shared" si="173"/>
        <v>0.44472018345000003</v>
      </c>
      <c r="O230" s="642">
        <f t="shared" si="173"/>
        <v>0.54307297596000004</v>
      </c>
      <c r="P230" s="642">
        <f t="shared" si="173"/>
        <v>0.55201160538000005</v>
      </c>
      <c r="Q230" s="642">
        <f t="shared" si="173"/>
        <v>0.65336541669000003</v>
      </c>
      <c r="R230" s="642">
        <f t="shared" si="173"/>
        <v>0.75639249543999998</v>
      </c>
      <c r="S230" s="642">
        <f t="shared" si="173"/>
        <v>0.85998982760999987</v>
      </c>
      <c r="T230" s="642">
        <f t="shared" si="173"/>
        <v>0.86759079587999999</v>
      </c>
      <c r="U230" s="642">
        <f t="shared" si="173"/>
        <v>0.97300302950000006</v>
      </c>
      <c r="V230" s="642">
        <f t="shared" si="173"/>
        <v>0.98148411160000015</v>
      </c>
      <c r="W230" s="642">
        <f t="shared" si="173"/>
        <v>1.08870356903</v>
      </c>
      <c r="X230" s="642">
        <f t="shared" si="173"/>
        <v>1.1971337899200001</v>
      </c>
      <c r="Y230" s="642">
        <f t="shared" si="173"/>
        <v>1.3064145588</v>
      </c>
      <c r="Z230" s="642">
        <f t="shared" si="173"/>
        <v>1.4169216798800002</v>
      </c>
      <c r="AA230" s="642">
        <f t="shared" si="173"/>
        <v>1.421581605136</v>
      </c>
      <c r="AB230" s="642">
        <f t="shared" si="173"/>
        <v>1.528197917985</v>
      </c>
      <c r="AC230" s="642">
        <f t="shared" si="173"/>
        <v>1.6353207722080001</v>
      </c>
      <c r="AD230" s="642">
        <f t="shared" si="173"/>
        <v>1.6403729726079999</v>
      </c>
      <c r="AE230" s="642">
        <f t="shared" si="173"/>
        <v>1.7481408076039999</v>
      </c>
      <c r="AF230" s="642">
        <f t="shared" si="173"/>
        <v>1.856208808026</v>
      </c>
      <c r="AG230" s="642">
        <f t="shared" si="173"/>
        <v>1.8610192378979997</v>
      </c>
      <c r="AH230" s="642">
        <f t="shared" si="173"/>
        <v>1.9691416995039996</v>
      </c>
      <c r="AI230" s="642">
        <f t="shared" si="173"/>
        <v>2.0775806154199996</v>
      </c>
      <c r="AJ230" s="642">
        <f t="shared" si="173"/>
        <v>2.0821027124999998</v>
      </c>
      <c r="AK230" s="642">
        <f t="shared" si="173"/>
        <v>2.1905474348309997</v>
      </c>
      <c r="AL230" s="642">
        <f t="shared" si="173"/>
        <v>2.2976276908640001</v>
      </c>
      <c r="AM230" s="642">
        <f t="shared" si="173"/>
        <v>2.4048682017130001</v>
      </c>
      <c r="AN230" s="642">
        <f t="shared" si="173"/>
        <v>2.407656761917</v>
      </c>
      <c r="AO230" s="642">
        <f t="shared" si="173"/>
        <v>2.5151705340960002</v>
      </c>
      <c r="AP230" s="642">
        <f t="shared" si="173"/>
        <v>2.6229618135750004</v>
      </c>
      <c r="AQ230" s="642">
        <f t="shared" si="173"/>
        <v>2.6259590865749995</v>
      </c>
      <c r="AR230" s="642">
        <f t="shared" si="173"/>
        <v>2.7341125540299998</v>
      </c>
      <c r="AS230" s="642">
        <f t="shared" si="173"/>
        <v>2.8423170181710002</v>
      </c>
      <c r="AT230" s="642">
        <f t="shared" si="173"/>
        <v>2.8452135647789998</v>
      </c>
      <c r="AU230" s="642">
        <f t="shared" si="173"/>
        <v>2.9536000534319999</v>
      </c>
      <c r="AV230" s="642">
        <f t="shared" si="173"/>
        <v>3.062116376114</v>
      </c>
      <c r="AW230" s="642">
        <f t="shared" si="173"/>
        <v>3.0651059123380002</v>
      </c>
      <c r="AX230" s="642">
        <f t="shared" si="173"/>
        <v>3.1739071811399993</v>
      </c>
      <c r="AY230" s="642">
        <f t="shared" si="173"/>
        <v>3.2829181756719996</v>
      </c>
      <c r="AZ230" s="642">
        <f t="shared" si="173"/>
        <v>3.2862021611369996</v>
      </c>
      <c r="BA230" s="642">
        <f t="shared" si="173"/>
        <v>3.3956824548800002</v>
      </c>
      <c r="BB230" s="642">
        <f t="shared" si="173"/>
        <v>3.5054566825409998</v>
      </c>
      <c r="BC230" s="642">
        <f t="shared" si="173"/>
        <v>3.5091241850939996</v>
      </c>
      <c r="BD230" s="642">
        <f t="shared" si="173"/>
        <v>3.6193456305499998</v>
      </c>
      <c r="BE230" s="642">
        <f t="shared" si="173"/>
        <v>3.729871759705</v>
      </c>
      <c r="BF230" s="642">
        <f t="shared" si="173"/>
        <v>3.7340390217550001</v>
      </c>
      <c r="BG230" s="642">
        <f t="shared" si="173"/>
        <v>3.8451953891159989</v>
      </c>
      <c r="BH230" s="642">
        <f t="shared" si="173"/>
        <v>3.9567659549479997</v>
      </c>
      <c r="BI230" s="642">
        <f t="shared" si="173"/>
        <v>3.961703261107</v>
      </c>
      <c r="BJ230" s="642">
        <f t="shared" si="173"/>
        <v>4.0739638168259988</v>
      </c>
      <c r="BK230" s="642">
        <f t="shared" si="173"/>
        <v>4.186641107142</v>
      </c>
      <c r="BL230" s="642">
        <f t="shared" si="173"/>
        <v>4.1922439776359992</v>
      </c>
      <c r="BM230" s="642">
        <f t="shared" si="173"/>
        <v>4.3056674722799997</v>
      </c>
      <c r="BN230" s="642">
        <f t="shared" si="173"/>
        <v>4.419637004376999</v>
      </c>
      <c r="BO230" s="642">
        <f t="shared" si="173"/>
        <v>4.4261804277489993</v>
      </c>
      <c r="BP230" s="642">
        <f t="shared" si="173"/>
        <v>4.5411249332820001</v>
      </c>
      <c r="BQ230" s="642">
        <f t="shared" si="173"/>
        <v>4.6566489032199989</v>
      </c>
      <c r="BR230" s="642">
        <f t="shared" si="173"/>
        <v>4.6642965020249996</v>
      </c>
      <c r="BS230" s="642">
        <f t="shared" si="173"/>
        <v>4.7807161884679994</v>
      </c>
      <c r="BT230" s="642">
        <f t="shared" ref="BT230:CI230" si="174">BT229*(SUM(BT224:BT228)-SUM(BT236:BT239))</f>
        <v>4.8976643202749992</v>
      </c>
      <c r="BU230" s="642">
        <f t="shared" si="174"/>
        <v>4.9061059162649991</v>
      </c>
      <c r="BV230" s="642">
        <f t="shared" si="174"/>
        <v>5.0239460377059997</v>
      </c>
      <c r="BW230" s="642">
        <f t="shared" si="174"/>
        <v>5.1422134867769991</v>
      </c>
      <c r="BX230" s="642">
        <f t="shared" si="174"/>
        <v>5.1513711844339989</v>
      </c>
      <c r="BY230" s="642">
        <f t="shared" si="174"/>
        <v>5.2704255891839988</v>
      </c>
      <c r="BZ230" s="642">
        <f t="shared" si="174"/>
        <v>5.3900007678300002</v>
      </c>
      <c r="CA230" s="642">
        <f t="shared" si="174"/>
        <v>5.3998259876889989</v>
      </c>
      <c r="CB230" s="642">
        <f t="shared" si="174"/>
        <v>5.5201153168499992</v>
      </c>
      <c r="CC230" s="642">
        <f t="shared" si="174"/>
        <v>5.6407571509919991</v>
      </c>
      <c r="CD230" s="642">
        <f t="shared" si="174"/>
        <v>5.6510331426749989</v>
      </c>
      <c r="CE230" s="642">
        <f t="shared" si="174"/>
        <v>5.7722620266999982</v>
      </c>
      <c r="CF230" s="642">
        <f t="shared" si="174"/>
        <v>5.8938350302489999</v>
      </c>
      <c r="CG230" s="642">
        <f t="shared" si="174"/>
        <v>5.9042895861119993</v>
      </c>
      <c r="CH230" s="642">
        <f t="shared" si="174"/>
        <v>6.02210485215</v>
      </c>
      <c r="CI230" s="642">
        <f t="shared" si="174"/>
        <v>6.14002542373</v>
      </c>
      <c r="CJ230" s="1619"/>
      <c r="CK230" s="1620"/>
    </row>
    <row r="231" spans="1:89" s="1621" customFormat="1" x14ac:dyDescent="0.35">
      <c r="A231" s="1618"/>
      <c r="B231" s="922" t="s">
        <v>363</v>
      </c>
      <c r="C231" s="927" t="s">
        <v>364</v>
      </c>
      <c r="D231" s="928" t="s">
        <v>365</v>
      </c>
      <c r="E231" s="929" t="s">
        <v>366</v>
      </c>
      <c r="F231" s="930">
        <v>1</v>
      </c>
      <c r="G231" s="648">
        <f>(((G227-G238))*1000000)/((G260)*1000)</f>
        <v>143.70222594682829</v>
      </c>
      <c r="H231" s="648">
        <f t="shared" ref="H231:BS232" si="175">(((H227-H238))*1000000)/((H260)*1000)</f>
        <v>143.95000089130801</v>
      </c>
      <c r="I231" s="648">
        <f t="shared" si="175"/>
        <v>165.97930257458114</v>
      </c>
      <c r="J231" s="648">
        <f t="shared" si="175"/>
        <v>159.83801944585363</v>
      </c>
      <c r="K231" s="648">
        <f t="shared" si="175"/>
        <v>153.98954773593849</v>
      </c>
      <c r="L231" s="648">
        <f t="shared" si="175"/>
        <v>148.17996050694964</v>
      </c>
      <c r="M231" s="649">
        <f t="shared" si="175"/>
        <v>148.36580427330185</v>
      </c>
      <c r="N231" s="649">
        <f t="shared" si="175"/>
        <v>148.34541579739712</v>
      </c>
      <c r="O231" s="649">
        <f t="shared" si="175"/>
        <v>148.3284437370767</v>
      </c>
      <c r="P231" s="649">
        <f t="shared" si="175"/>
        <v>148.35014897029362</v>
      </c>
      <c r="Q231" s="649">
        <f t="shared" si="175"/>
        <v>148.44943476593966</v>
      </c>
      <c r="R231" s="649">
        <f t="shared" si="175"/>
        <v>148.17359252949004</v>
      </c>
      <c r="S231" s="649">
        <f t="shared" si="175"/>
        <v>147.97699681729691</v>
      </c>
      <c r="T231" s="649">
        <f t="shared" si="175"/>
        <v>147.81398025056345</v>
      </c>
      <c r="U231" s="649">
        <f t="shared" si="175"/>
        <v>147.6281477086481</v>
      </c>
      <c r="V231" s="649">
        <f t="shared" si="175"/>
        <v>147.41883794838938</v>
      </c>
      <c r="W231" s="649">
        <f t="shared" si="175"/>
        <v>147.28870956563333</v>
      </c>
      <c r="X231" s="649">
        <f t="shared" si="175"/>
        <v>147.21145042663909</v>
      </c>
      <c r="Y231" s="649">
        <f t="shared" si="175"/>
        <v>147.13388759241224</v>
      </c>
      <c r="Z231" s="649">
        <f t="shared" si="175"/>
        <v>147.02425186850675</v>
      </c>
      <c r="AA231" s="649">
        <f t="shared" si="175"/>
        <v>146.95743692141062</v>
      </c>
      <c r="AB231" s="649">
        <f t="shared" si="175"/>
        <v>146.89096980522419</v>
      </c>
      <c r="AC231" s="649">
        <f t="shared" si="175"/>
        <v>146.81430807055969</v>
      </c>
      <c r="AD231" s="649">
        <f t="shared" si="175"/>
        <v>146.73021787214887</v>
      </c>
      <c r="AE231" s="649">
        <f t="shared" si="175"/>
        <v>146.6334336549032</v>
      </c>
      <c r="AF231" s="649">
        <f t="shared" si="175"/>
        <v>146.53763817962607</v>
      </c>
      <c r="AG231" s="649">
        <f t="shared" si="175"/>
        <v>146.45478871425496</v>
      </c>
      <c r="AH231" s="649">
        <f t="shared" si="175"/>
        <v>146.37482431796707</v>
      </c>
      <c r="AI231" s="649">
        <f t="shared" si="175"/>
        <v>146.28692785287788</v>
      </c>
      <c r="AJ231" s="649">
        <f t="shared" si="175"/>
        <v>146.19740703690223</v>
      </c>
      <c r="AK231" s="649">
        <f t="shared" si="175"/>
        <v>146.11420226289545</v>
      </c>
      <c r="AL231" s="649">
        <f t="shared" si="175"/>
        <v>146.20941398406737</v>
      </c>
      <c r="AM231" s="649">
        <f t="shared" si="175"/>
        <v>146.29788523220242</v>
      </c>
      <c r="AN231" s="649">
        <f t="shared" si="175"/>
        <v>146.38536637204808</v>
      </c>
      <c r="AO231" s="649">
        <f t="shared" si="175"/>
        <v>146.47266746999799</v>
      </c>
      <c r="AP231" s="649">
        <f t="shared" si="175"/>
        <v>146.56293121814048</v>
      </c>
      <c r="AQ231" s="649">
        <f t="shared" si="175"/>
        <v>146.66164138849186</v>
      </c>
      <c r="AR231" s="649">
        <f t="shared" si="175"/>
        <v>146.75617276572774</v>
      </c>
      <c r="AS231" s="649">
        <f t="shared" si="175"/>
        <v>146.83996860366921</v>
      </c>
      <c r="AT231" s="649">
        <f t="shared" si="175"/>
        <v>146.91863652978569</v>
      </c>
      <c r="AU231" s="649">
        <f t="shared" si="175"/>
        <v>146.99856932907804</v>
      </c>
      <c r="AV231" s="649">
        <f t="shared" si="175"/>
        <v>147.07816535493242</v>
      </c>
      <c r="AW231" s="649">
        <f t="shared" si="175"/>
        <v>147.15448790645044</v>
      </c>
      <c r="AX231" s="649">
        <f t="shared" si="175"/>
        <v>147.23298045068071</v>
      </c>
      <c r="AY231" s="649">
        <f t="shared" si="175"/>
        <v>147.31762386449796</v>
      </c>
      <c r="AZ231" s="649">
        <f t="shared" si="175"/>
        <v>147.40760169881875</v>
      </c>
      <c r="BA231" s="649">
        <f t="shared" si="175"/>
        <v>147.50190273714949</v>
      </c>
      <c r="BB231" s="649">
        <f t="shared" si="175"/>
        <v>147.59394213559736</v>
      </c>
      <c r="BC231" s="649">
        <f t="shared" si="175"/>
        <v>147.68342113703531</v>
      </c>
      <c r="BD231" s="649">
        <f t="shared" si="175"/>
        <v>147.77342381471041</v>
      </c>
      <c r="BE231" s="649">
        <f t="shared" si="175"/>
        <v>147.86426739959171</v>
      </c>
      <c r="BF231" s="649">
        <f t="shared" si="175"/>
        <v>147.95614771028923</v>
      </c>
      <c r="BG231" s="649">
        <f t="shared" si="175"/>
        <v>148.04711371491837</v>
      </c>
      <c r="BH231" s="649">
        <f t="shared" si="175"/>
        <v>148.13876015941369</v>
      </c>
      <c r="BI231" s="649">
        <f t="shared" si="175"/>
        <v>148.22853111318474</v>
      </c>
      <c r="BJ231" s="649">
        <f t="shared" si="175"/>
        <v>148.31486335964959</v>
      </c>
      <c r="BK231" s="649">
        <f t="shared" si="175"/>
        <v>148.40156157826874</v>
      </c>
      <c r="BL231" s="649">
        <f t="shared" si="175"/>
        <v>148.4834676095069</v>
      </c>
      <c r="BM231" s="649">
        <f t="shared" si="175"/>
        <v>148.56248690183273</v>
      </c>
      <c r="BN231" s="649">
        <f t="shared" si="175"/>
        <v>148.64291158394985</v>
      </c>
      <c r="BO231" s="649">
        <f t="shared" si="175"/>
        <v>148.72327325156897</v>
      </c>
      <c r="BP231" s="649">
        <f t="shared" si="175"/>
        <v>148.80896696518153</v>
      </c>
      <c r="BQ231" s="649">
        <f t="shared" si="175"/>
        <v>148.89756644244483</v>
      </c>
      <c r="BR231" s="649">
        <f t="shared" si="175"/>
        <v>148.98862702738495</v>
      </c>
      <c r="BS231" s="649">
        <f t="shared" si="175"/>
        <v>149.07925743772446</v>
      </c>
      <c r="BT231" s="649">
        <f t="shared" ref="BT231:CI232" si="176">(((BT227-BT238))*1000000)/((BT260)*1000)</f>
        <v>149.17109293017535</v>
      </c>
      <c r="BU231" s="649">
        <f t="shared" si="176"/>
        <v>149.26586355565541</v>
      </c>
      <c r="BV231" s="649">
        <f t="shared" si="176"/>
        <v>149.36291431284371</v>
      </c>
      <c r="BW231" s="649">
        <f t="shared" si="176"/>
        <v>149.460818775218</v>
      </c>
      <c r="BX231" s="649">
        <f t="shared" si="176"/>
        <v>149.56147918511132</v>
      </c>
      <c r="BY231" s="649">
        <f t="shared" si="176"/>
        <v>149.66587496915474</v>
      </c>
      <c r="BZ231" s="649">
        <f t="shared" si="176"/>
        <v>149.77677748930003</v>
      </c>
      <c r="CA231" s="649">
        <f t="shared" si="176"/>
        <v>149.88970511707686</v>
      </c>
      <c r="CB231" s="649">
        <f t="shared" si="176"/>
        <v>150.0043256638385</v>
      </c>
      <c r="CC231" s="649">
        <f t="shared" si="176"/>
        <v>150.11635163475552</v>
      </c>
      <c r="CD231" s="649">
        <f t="shared" si="176"/>
        <v>150.23065424748597</v>
      </c>
      <c r="CE231" s="649">
        <f t="shared" si="176"/>
        <v>150.34692551219641</v>
      </c>
      <c r="CF231" s="649">
        <f t="shared" si="176"/>
        <v>150.4636607545801</v>
      </c>
      <c r="CG231" s="649">
        <f t="shared" si="176"/>
        <v>150.57644549687112</v>
      </c>
      <c r="CH231" s="649">
        <f t="shared" si="176"/>
        <v>150.6864869502709</v>
      </c>
      <c r="CI231" s="643">
        <f t="shared" si="176"/>
        <v>150.79518869661442</v>
      </c>
      <c r="CJ231" s="1619"/>
      <c r="CK231" s="1620"/>
    </row>
    <row r="232" spans="1:89" s="1621" customFormat="1" x14ac:dyDescent="0.35">
      <c r="A232" s="1618"/>
      <c r="B232" s="922" t="s">
        <v>367</v>
      </c>
      <c r="C232" s="927" t="s">
        <v>368</v>
      </c>
      <c r="D232" s="928" t="s">
        <v>369</v>
      </c>
      <c r="E232" s="929" t="s">
        <v>366</v>
      </c>
      <c r="F232" s="930">
        <v>1</v>
      </c>
      <c r="G232" s="648">
        <f>(((G228-G239))*1000000)/((G261)*1000)</f>
        <v>220.73170833505901</v>
      </c>
      <c r="H232" s="648">
        <f t="shared" si="175"/>
        <v>220.16683972479461</v>
      </c>
      <c r="I232" s="648">
        <f t="shared" si="175"/>
        <v>219.8064087958947</v>
      </c>
      <c r="J232" s="648">
        <f t="shared" si="175"/>
        <v>209.84149960566356</v>
      </c>
      <c r="K232" s="648">
        <f t="shared" si="175"/>
        <v>200.52296720077052</v>
      </c>
      <c r="L232" s="648">
        <f t="shared" si="175"/>
        <v>191.45858386737433</v>
      </c>
      <c r="M232" s="649">
        <f t="shared" si="175"/>
        <v>190.01204242577234</v>
      </c>
      <c r="N232" s="649">
        <f t="shared" si="175"/>
        <v>189.05119738647588</v>
      </c>
      <c r="O232" s="649">
        <f t="shared" si="175"/>
        <v>188.10208595284811</v>
      </c>
      <c r="P232" s="649">
        <f t="shared" si="175"/>
        <v>187.15597925063591</v>
      </c>
      <c r="Q232" s="649">
        <f t="shared" si="175"/>
        <v>186.27288512815775</v>
      </c>
      <c r="R232" s="649">
        <f t="shared" si="175"/>
        <v>185.65577870407995</v>
      </c>
      <c r="S232" s="649">
        <f t="shared" si="175"/>
        <v>185.13526904612303</v>
      </c>
      <c r="T232" s="649">
        <f t="shared" si="175"/>
        <v>184.63292441466965</v>
      </c>
      <c r="U232" s="649">
        <f t="shared" si="175"/>
        <v>184.07597543443069</v>
      </c>
      <c r="V232" s="649">
        <f t="shared" si="175"/>
        <v>183.46569048940339</v>
      </c>
      <c r="W232" s="649">
        <f t="shared" si="175"/>
        <v>182.95556610130492</v>
      </c>
      <c r="X232" s="649">
        <f t="shared" si="175"/>
        <v>182.53189462662124</v>
      </c>
      <c r="Y232" s="649">
        <f t="shared" si="175"/>
        <v>182.09726539811416</v>
      </c>
      <c r="Z232" s="649">
        <f t="shared" si="175"/>
        <v>181.60121790833733</v>
      </c>
      <c r="AA232" s="649">
        <f t="shared" si="175"/>
        <v>181.1797576048352</v>
      </c>
      <c r="AB232" s="649">
        <f t="shared" si="175"/>
        <v>180.75706129246657</v>
      </c>
      <c r="AC232" s="649">
        <f t="shared" si="175"/>
        <v>180.30934289356739</v>
      </c>
      <c r="AD232" s="649">
        <f t="shared" si="175"/>
        <v>179.84180699287373</v>
      </c>
      <c r="AE232" s="649">
        <f t="shared" si="175"/>
        <v>179.3450845573708</v>
      </c>
      <c r="AF232" s="649">
        <f t="shared" si="175"/>
        <v>178.84402220884527</v>
      </c>
      <c r="AG232" s="649">
        <f t="shared" si="175"/>
        <v>178.36035593082278</v>
      </c>
      <c r="AH232" s="649">
        <f t="shared" si="175"/>
        <v>177.87518156126504</v>
      </c>
      <c r="AI232" s="649">
        <f t="shared" si="175"/>
        <v>177.3686727167983</v>
      </c>
      <c r="AJ232" s="649">
        <f t="shared" si="175"/>
        <v>176.85234272981992</v>
      </c>
      <c r="AK232" s="649">
        <f t="shared" si="175"/>
        <v>176.34092314894377</v>
      </c>
      <c r="AL232" s="649">
        <f t="shared" si="175"/>
        <v>175.98006276842648</v>
      </c>
      <c r="AM232" s="649">
        <f t="shared" si="175"/>
        <v>175.60029329162509</v>
      </c>
      <c r="AN232" s="649">
        <f t="shared" si="175"/>
        <v>175.21345044925485</v>
      </c>
      <c r="AO232" s="649">
        <f t="shared" si="175"/>
        <v>174.82066686280677</v>
      </c>
      <c r="AP232" s="649">
        <f t="shared" si="175"/>
        <v>174.42883967031088</v>
      </c>
      <c r="AQ232" s="649">
        <f t="shared" si="175"/>
        <v>174.04838624042242</v>
      </c>
      <c r="AR232" s="649">
        <f t="shared" si="175"/>
        <v>173.65451510774011</v>
      </c>
      <c r="AS232" s="649">
        <f t="shared" si="175"/>
        <v>173.23334635819188</v>
      </c>
      <c r="AT232" s="649">
        <f t="shared" si="175"/>
        <v>172.79609391375729</v>
      </c>
      <c r="AU232" s="649">
        <f t="shared" si="175"/>
        <v>172.35609057610452</v>
      </c>
      <c r="AV232" s="649">
        <f t="shared" si="175"/>
        <v>171.90971059191881</v>
      </c>
      <c r="AW232" s="649">
        <f t="shared" si="175"/>
        <v>171.45146633014929</v>
      </c>
      <c r="AX232" s="649">
        <f t="shared" si="175"/>
        <v>170.98682755617335</v>
      </c>
      <c r="AY232" s="649">
        <f t="shared" si="175"/>
        <v>170.52341391122971</v>
      </c>
      <c r="AZ232" s="649">
        <f t="shared" si="175"/>
        <v>170.05992389724497</v>
      </c>
      <c r="BA232" s="649">
        <f t="shared" si="175"/>
        <v>169.59442097933356</v>
      </c>
      <c r="BB232" s="649">
        <f t="shared" si="175"/>
        <v>169.11415192511686</v>
      </c>
      <c r="BC232" s="649">
        <f t="shared" si="175"/>
        <v>168.61827622133734</v>
      </c>
      <c r="BD232" s="649">
        <f t="shared" si="175"/>
        <v>168.11316780699383</v>
      </c>
      <c r="BE232" s="649">
        <f t="shared" si="175"/>
        <v>167.5993194680679</v>
      </c>
      <c r="BF232" s="649">
        <f t="shared" si="175"/>
        <v>167.07719196221262</v>
      </c>
      <c r="BG232" s="649">
        <f t="shared" si="175"/>
        <v>166.5434195293588</v>
      </c>
      <c r="BH232" s="649">
        <f t="shared" si="175"/>
        <v>166.00100000238919</v>
      </c>
      <c r="BI232" s="649">
        <f t="shared" si="175"/>
        <v>165.44514164797599</v>
      </c>
      <c r="BJ232" s="649">
        <f t="shared" si="175"/>
        <v>164.87270321645056</v>
      </c>
      <c r="BK232" s="649">
        <f t="shared" si="175"/>
        <v>164.29107729342377</v>
      </c>
      <c r="BL232" s="649">
        <f t="shared" si="175"/>
        <v>163.69052834058274</v>
      </c>
      <c r="BM232" s="649">
        <f t="shared" si="175"/>
        <v>163.07492967570809</v>
      </c>
      <c r="BN232" s="649">
        <f t="shared" si="175"/>
        <v>162.45267411303877</v>
      </c>
      <c r="BO232" s="649">
        <f t="shared" si="175"/>
        <v>161.82095048883707</v>
      </c>
      <c r="BP232" s="649">
        <f t="shared" si="175"/>
        <v>161.19016226696181</v>
      </c>
      <c r="BQ232" s="649">
        <f t="shared" si="175"/>
        <v>160.5556492490644</v>
      </c>
      <c r="BR232" s="649">
        <f t="shared" si="175"/>
        <v>159.9166356807153</v>
      </c>
      <c r="BS232" s="649">
        <f t="shared" si="175"/>
        <v>159.26743854402631</v>
      </c>
      <c r="BT232" s="649">
        <f t="shared" si="176"/>
        <v>158.61133643248846</v>
      </c>
      <c r="BU232" s="649">
        <f t="shared" si="176"/>
        <v>157.95158656089012</v>
      </c>
      <c r="BV232" s="649">
        <f t="shared" si="176"/>
        <v>157.28716543594498</v>
      </c>
      <c r="BW232" s="649">
        <f t="shared" si="176"/>
        <v>156.61517035101085</v>
      </c>
      <c r="BX232" s="649">
        <f t="shared" si="176"/>
        <v>155.93940120294914</v>
      </c>
      <c r="BY232" s="649">
        <f t="shared" si="176"/>
        <v>155.26174785441194</v>
      </c>
      <c r="BZ232" s="649">
        <f t="shared" si="176"/>
        <v>154.58746504534642</v>
      </c>
      <c r="CA232" s="649">
        <f t="shared" si="176"/>
        <v>153.9082568582599</v>
      </c>
      <c r="CB232" s="649">
        <f t="shared" si="176"/>
        <v>153.22369179356468</v>
      </c>
      <c r="CC232" s="649">
        <f t="shared" si="176"/>
        <v>152.5258660224508</v>
      </c>
      <c r="CD232" s="649">
        <f t="shared" si="176"/>
        <v>151.82404614233084</v>
      </c>
      <c r="CE232" s="649">
        <f t="shared" si="176"/>
        <v>151.1176464675255</v>
      </c>
      <c r="CF232" s="649">
        <f t="shared" si="176"/>
        <v>150.40412143575946</v>
      </c>
      <c r="CG232" s="649">
        <f t="shared" si="176"/>
        <v>149.67560061253556</v>
      </c>
      <c r="CH232" s="649">
        <f t="shared" si="176"/>
        <v>148.93459762198577</v>
      </c>
      <c r="CI232" s="643">
        <f t="shared" si="176"/>
        <v>148.18380228700562</v>
      </c>
      <c r="CJ232" s="1619"/>
      <c r="CK232" s="1620"/>
    </row>
    <row r="233" spans="1:89" s="1621" customFormat="1" ht="28" x14ac:dyDescent="0.35">
      <c r="A233" s="1618"/>
      <c r="B233" s="922" t="s">
        <v>370</v>
      </c>
      <c r="C233" s="927" t="s">
        <v>371</v>
      </c>
      <c r="D233" s="928" t="s">
        <v>372</v>
      </c>
      <c r="E233" s="929" t="s">
        <v>366</v>
      </c>
      <c r="F233" s="930">
        <v>1</v>
      </c>
      <c r="G233" s="648">
        <f>(((G227-G238)+(G228-G239))*1000000)/((G260+G261)*1000)</f>
        <v>166.4923131715201</v>
      </c>
      <c r="H233" s="648">
        <f t="shared" ref="H233:BS233" si="177">(((H227-H238)+(H228-H239))*1000000)/((H260+H261)*1000)</f>
        <v>165.78438221978459</v>
      </c>
      <c r="I233" s="648">
        <f t="shared" si="177"/>
        <v>181.11008646193531</v>
      </c>
      <c r="J233" s="648">
        <f t="shared" si="177"/>
        <v>173.32872600434644</v>
      </c>
      <c r="K233" s="648">
        <f t="shared" si="177"/>
        <v>166.07246494698472</v>
      </c>
      <c r="L233" s="648">
        <f t="shared" si="177"/>
        <v>158.99680388016006</v>
      </c>
      <c r="M233" s="649">
        <f t="shared" si="177"/>
        <v>158.37447214817541</v>
      </c>
      <c r="N233" s="649">
        <f t="shared" si="177"/>
        <v>157.78930930041898</v>
      </c>
      <c r="O233" s="649">
        <f t="shared" si="177"/>
        <v>157.21148869375449</v>
      </c>
      <c r="P233" s="649">
        <f t="shared" si="177"/>
        <v>156.70030449182914</v>
      </c>
      <c r="Q233" s="649">
        <f t="shared" si="177"/>
        <v>156.30563201233767</v>
      </c>
      <c r="R233" s="649">
        <f t="shared" si="177"/>
        <v>155.69227466874875</v>
      </c>
      <c r="S233" s="649">
        <f t="shared" si="177"/>
        <v>155.19017955665029</v>
      </c>
      <c r="T233" s="649">
        <f t="shared" si="177"/>
        <v>154.74363992126001</v>
      </c>
      <c r="U233" s="649">
        <f t="shared" si="177"/>
        <v>154.27879113654677</v>
      </c>
      <c r="V233" s="649">
        <f t="shared" si="177"/>
        <v>153.79541541008089</v>
      </c>
      <c r="W233" s="649">
        <f t="shared" si="177"/>
        <v>153.41030806723876</v>
      </c>
      <c r="X233" s="649">
        <f t="shared" si="177"/>
        <v>153.09510527187001</v>
      </c>
      <c r="Y233" s="649">
        <f t="shared" si="177"/>
        <v>152.79090043782978</v>
      </c>
      <c r="Z233" s="649">
        <f t="shared" si="177"/>
        <v>152.45913870735345</v>
      </c>
      <c r="AA233" s="649">
        <f t="shared" si="177"/>
        <v>152.1839542715594</v>
      </c>
      <c r="AB233" s="649">
        <f t="shared" si="177"/>
        <v>151.91658879463228</v>
      </c>
      <c r="AC233" s="649">
        <f t="shared" si="177"/>
        <v>151.64620969571396</v>
      </c>
      <c r="AD233" s="649">
        <f t="shared" si="177"/>
        <v>151.37552978188654</v>
      </c>
      <c r="AE233" s="649">
        <f t="shared" si="177"/>
        <v>151.09827925114413</v>
      </c>
      <c r="AF233" s="649">
        <f t="shared" si="177"/>
        <v>150.82943013536689</v>
      </c>
      <c r="AG233" s="649">
        <f t="shared" si="177"/>
        <v>150.58171124875142</v>
      </c>
      <c r="AH233" s="649">
        <f t="shared" si="177"/>
        <v>150.34359541571538</v>
      </c>
      <c r="AI233" s="649">
        <f t="shared" si="177"/>
        <v>150.10270929098508</v>
      </c>
      <c r="AJ233" s="649">
        <f t="shared" si="177"/>
        <v>149.86579962918725</v>
      </c>
      <c r="AK233" s="649">
        <f t="shared" si="177"/>
        <v>149.64133507133607</v>
      </c>
      <c r="AL233" s="649">
        <f t="shared" si="177"/>
        <v>149.60761781994509</v>
      </c>
      <c r="AM233" s="649">
        <f t="shared" si="177"/>
        <v>149.57051989181846</v>
      </c>
      <c r="AN233" s="649">
        <f t="shared" si="177"/>
        <v>149.53595767237147</v>
      </c>
      <c r="AO233" s="649">
        <f t="shared" si="177"/>
        <v>149.50477155797387</v>
      </c>
      <c r="AP233" s="649">
        <f t="shared" si="177"/>
        <v>149.48004022679066</v>
      </c>
      <c r="AQ233" s="649">
        <f t="shared" si="177"/>
        <v>149.46753984254116</v>
      </c>
      <c r="AR233" s="649">
        <f t="shared" si="177"/>
        <v>149.45373448901489</v>
      </c>
      <c r="AS233" s="649">
        <f t="shared" si="177"/>
        <v>149.43176632264905</v>
      </c>
      <c r="AT233" s="649">
        <f t="shared" si="177"/>
        <v>149.40746231138158</v>
      </c>
      <c r="AU233" s="649">
        <f t="shared" si="177"/>
        <v>149.38736611890747</v>
      </c>
      <c r="AV233" s="649">
        <f t="shared" si="177"/>
        <v>149.36976564530249</v>
      </c>
      <c r="AW233" s="649">
        <f t="shared" si="177"/>
        <v>149.3514282353247</v>
      </c>
      <c r="AX233" s="649">
        <f t="shared" si="177"/>
        <v>149.33762625222812</v>
      </c>
      <c r="AY233" s="649">
        <f t="shared" si="177"/>
        <v>149.33251197532542</v>
      </c>
      <c r="AZ233" s="649">
        <f t="shared" si="177"/>
        <v>149.33511106307924</v>
      </c>
      <c r="BA233" s="649">
        <f t="shared" si="177"/>
        <v>149.34428986759264</v>
      </c>
      <c r="BB233" s="649">
        <f t="shared" si="177"/>
        <v>149.35305664554616</v>
      </c>
      <c r="BC233" s="649">
        <f t="shared" si="177"/>
        <v>149.36108941870498</v>
      </c>
      <c r="BD233" s="649">
        <f t="shared" si="177"/>
        <v>149.37154872243491</v>
      </c>
      <c r="BE233" s="649">
        <f t="shared" si="177"/>
        <v>149.38473924565164</v>
      </c>
      <c r="BF233" s="649">
        <f t="shared" si="177"/>
        <v>149.40081687615378</v>
      </c>
      <c r="BG233" s="649">
        <f t="shared" si="177"/>
        <v>149.41766128393323</v>
      </c>
      <c r="BH233" s="649">
        <f t="shared" si="177"/>
        <v>149.43692274773119</v>
      </c>
      <c r="BI233" s="649">
        <f t="shared" si="177"/>
        <v>149.45588155902348</v>
      </c>
      <c r="BJ233" s="649">
        <f t="shared" si="177"/>
        <v>149.47288579045698</v>
      </c>
      <c r="BK233" s="649">
        <f t="shared" si="177"/>
        <v>149.49188816281526</v>
      </c>
      <c r="BL233" s="649">
        <f t="shared" si="177"/>
        <v>149.50745352496838</v>
      </c>
      <c r="BM233" s="649">
        <f t="shared" si="177"/>
        <v>149.52154418942871</v>
      </c>
      <c r="BN233" s="649">
        <f t="shared" si="177"/>
        <v>149.53861658870767</v>
      </c>
      <c r="BO233" s="649">
        <f t="shared" si="177"/>
        <v>149.55711064495785</v>
      </c>
      <c r="BP233" s="649">
        <f t="shared" si="177"/>
        <v>149.58263005949024</v>
      </c>
      <c r="BQ233" s="649">
        <f t="shared" si="177"/>
        <v>149.6126116225131</v>
      </c>
      <c r="BR233" s="649">
        <f t="shared" si="177"/>
        <v>149.64656078787473</v>
      </c>
      <c r="BS233" s="649">
        <f t="shared" si="177"/>
        <v>149.6814376955474</v>
      </c>
      <c r="BT233" s="649">
        <f t="shared" ref="BT233:CI233" si="178">(((BT227-BT238)+(BT228-BT239))*1000000)/((BT260+BT261)*1000)</f>
        <v>149.71891640008388</v>
      </c>
      <c r="BU233" s="649">
        <f t="shared" si="178"/>
        <v>149.76077074601457</v>
      </c>
      <c r="BV233" s="649">
        <f t="shared" si="178"/>
        <v>149.80628553220001</v>
      </c>
      <c r="BW233" s="649">
        <f t="shared" si="178"/>
        <v>149.85394431311309</v>
      </c>
      <c r="BX233" s="649">
        <f t="shared" si="178"/>
        <v>149.90569652645331</v>
      </c>
      <c r="BY233" s="649">
        <f t="shared" si="178"/>
        <v>149.96252943612231</v>
      </c>
      <c r="BZ233" s="649">
        <f t="shared" si="178"/>
        <v>150.02729468936371</v>
      </c>
      <c r="CA233" s="649">
        <f t="shared" si="178"/>
        <v>150.09529442213187</v>
      </c>
      <c r="CB233" s="649">
        <f t="shared" si="178"/>
        <v>150.1661543150789</v>
      </c>
      <c r="CC233" s="649">
        <f t="shared" si="178"/>
        <v>150.23538298237668</v>
      </c>
      <c r="CD233" s="649">
        <f t="shared" si="178"/>
        <v>150.30802113219502</v>
      </c>
      <c r="CE233" s="649">
        <f t="shared" si="178"/>
        <v>150.38371276769874</v>
      </c>
      <c r="CF233" s="649">
        <f t="shared" si="178"/>
        <v>150.4608666186775</v>
      </c>
      <c r="CG233" s="649">
        <f t="shared" si="178"/>
        <v>150.53486928645134</v>
      </c>
      <c r="CH233" s="649">
        <f t="shared" si="178"/>
        <v>150.60695352960838</v>
      </c>
      <c r="CI233" s="643">
        <f t="shared" si="178"/>
        <v>150.67854619228788</v>
      </c>
      <c r="CJ233" s="1619"/>
      <c r="CK233" s="1620"/>
    </row>
    <row r="234" spans="1:89" s="64" customFormat="1" x14ac:dyDescent="0.35">
      <c r="A234" s="58"/>
      <c r="B234" s="922" t="s">
        <v>373</v>
      </c>
      <c r="C234" s="927" t="s">
        <v>374</v>
      </c>
      <c r="D234" s="928" t="s">
        <v>82</v>
      </c>
      <c r="E234" s="929" t="s">
        <v>305</v>
      </c>
      <c r="F234" s="930">
        <v>2</v>
      </c>
      <c r="G234" s="611">
        <v>0.42</v>
      </c>
      <c r="H234" s="611">
        <v>0.42</v>
      </c>
      <c r="I234" s="611">
        <v>0.42</v>
      </c>
      <c r="J234" s="611">
        <v>0.42</v>
      </c>
      <c r="K234" s="611">
        <v>0.42</v>
      </c>
      <c r="L234" s="611">
        <v>0.42</v>
      </c>
      <c r="M234" s="612">
        <v>0.42</v>
      </c>
      <c r="N234" s="612">
        <v>0.42</v>
      </c>
      <c r="O234" s="612">
        <v>0.42</v>
      </c>
      <c r="P234" s="612">
        <v>0.42</v>
      </c>
      <c r="Q234" s="612">
        <v>0.42</v>
      </c>
      <c r="R234" s="612">
        <v>0.42</v>
      </c>
      <c r="S234" s="612">
        <v>0.42</v>
      </c>
      <c r="T234" s="612">
        <v>0.42</v>
      </c>
      <c r="U234" s="612">
        <v>0.42</v>
      </c>
      <c r="V234" s="612">
        <v>0.42</v>
      </c>
      <c r="W234" s="612">
        <v>0.42</v>
      </c>
      <c r="X234" s="612">
        <v>0.42</v>
      </c>
      <c r="Y234" s="612">
        <v>0.42</v>
      </c>
      <c r="Z234" s="612">
        <v>0.42</v>
      </c>
      <c r="AA234" s="612">
        <v>0.42</v>
      </c>
      <c r="AB234" s="612">
        <v>0.42</v>
      </c>
      <c r="AC234" s="612">
        <v>0.42</v>
      </c>
      <c r="AD234" s="612">
        <v>0.42</v>
      </c>
      <c r="AE234" s="612">
        <v>0.42</v>
      </c>
      <c r="AF234" s="612">
        <v>0.42</v>
      </c>
      <c r="AG234" s="612">
        <v>0.42</v>
      </c>
      <c r="AH234" s="612">
        <v>0.42</v>
      </c>
      <c r="AI234" s="612">
        <v>0.42</v>
      </c>
      <c r="AJ234" s="612">
        <v>0.42</v>
      </c>
      <c r="AK234" s="612">
        <v>0.42</v>
      </c>
      <c r="AL234" s="612">
        <v>0.42</v>
      </c>
      <c r="AM234" s="612">
        <v>0.42</v>
      </c>
      <c r="AN234" s="612">
        <v>0.42</v>
      </c>
      <c r="AO234" s="612">
        <v>0.42</v>
      </c>
      <c r="AP234" s="612">
        <v>0.42</v>
      </c>
      <c r="AQ234" s="612">
        <v>0.42</v>
      </c>
      <c r="AR234" s="612">
        <v>0.42</v>
      </c>
      <c r="AS234" s="612">
        <v>0.42</v>
      </c>
      <c r="AT234" s="612">
        <v>0.42</v>
      </c>
      <c r="AU234" s="612">
        <v>0.42</v>
      </c>
      <c r="AV234" s="612">
        <v>0.42</v>
      </c>
      <c r="AW234" s="612">
        <v>0.42</v>
      </c>
      <c r="AX234" s="612">
        <v>0.42</v>
      </c>
      <c r="AY234" s="612">
        <v>0.42</v>
      </c>
      <c r="AZ234" s="612">
        <v>0.42</v>
      </c>
      <c r="BA234" s="612">
        <v>0.42</v>
      </c>
      <c r="BB234" s="612">
        <v>0.42</v>
      </c>
      <c r="BC234" s="612">
        <v>0.42</v>
      </c>
      <c r="BD234" s="612">
        <v>0.42</v>
      </c>
      <c r="BE234" s="612">
        <v>0.42</v>
      </c>
      <c r="BF234" s="612">
        <v>0.42</v>
      </c>
      <c r="BG234" s="612">
        <v>0.42</v>
      </c>
      <c r="BH234" s="612">
        <v>0.42</v>
      </c>
      <c r="BI234" s="612">
        <v>0.42</v>
      </c>
      <c r="BJ234" s="612">
        <v>0.42</v>
      </c>
      <c r="BK234" s="612">
        <v>0.42</v>
      </c>
      <c r="BL234" s="612">
        <v>0.42</v>
      </c>
      <c r="BM234" s="612">
        <v>0.42</v>
      </c>
      <c r="BN234" s="612">
        <v>0.42</v>
      </c>
      <c r="BO234" s="612">
        <v>0.42</v>
      </c>
      <c r="BP234" s="612">
        <v>0.42</v>
      </c>
      <c r="BQ234" s="612">
        <v>0.42</v>
      </c>
      <c r="BR234" s="612">
        <v>0.42</v>
      </c>
      <c r="BS234" s="612">
        <v>0.42</v>
      </c>
      <c r="BT234" s="612">
        <v>0.42</v>
      </c>
      <c r="BU234" s="612">
        <v>0.42</v>
      </c>
      <c r="BV234" s="612">
        <v>0.42</v>
      </c>
      <c r="BW234" s="612">
        <v>0.42</v>
      </c>
      <c r="BX234" s="612">
        <v>0.42</v>
      </c>
      <c r="BY234" s="612">
        <v>0.42</v>
      </c>
      <c r="BZ234" s="612">
        <v>0.42</v>
      </c>
      <c r="CA234" s="612">
        <v>0.42</v>
      </c>
      <c r="CB234" s="612">
        <v>0.42</v>
      </c>
      <c r="CC234" s="612">
        <v>0.42</v>
      </c>
      <c r="CD234" s="612">
        <v>0.42</v>
      </c>
      <c r="CE234" s="612">
        <v>0.42</v>
      </c>
      <c r="CF234" s="612">
        <v>0.42</v>
      </c>
      <c r="CG234" s="612">
        <v>0.42</v>
      </c>
      <c r="CH234" s="612">
        <v>0.42</v>
      </c>
      <c r="CI234" s="613">
        <v>0.42</v>
      </c>
      <c r="CJ234" s="1410"/>
      <c r="CK234" s="605"/>
    </row>
    <row r="235" spans="1:89" s="64" customFormat="1" ht="14.5" thickBot="1" x14ac:dyDescent="0.4">
      <c r="A235" s="58"/>
      <c r="B235" s="931" t="s">
        <v>375</v>
      </c>
      <c r="C235" s="932" t="s">
        <v>376</v>
      </c>
      <c r="D235" s="933" t="s">
        <v>82</v>
      </c>
      <c r="E235" s="934" t="s">
        <v>305</v>
      </c>
      <c r="F235" s="935">
        <v>2</v>
      </c>
      <c r="G235" s="655">
        <v>0.12</v>
      </c>
      <c r="H235" s="655">
        <v>0.12</v>
      </c>
      <c r="I235" s="655">
        <v>0.12</v>
      </c>
      <c r="J235" s="655">
        <v>0.12</v>
      </c>
      <c r="K235" s="655">
        <v>0.12</v>
      </c>
      <c r="L235" s="655">
        <v>0.12</v>
      </c>
      <c r="M235" s="656">
        <v>0.12</v>
      </c>
      <c r="N235" s="656">
        <v>0.12</v>
      </c>
      <c r="O235" s="656">
        <v>0.12</v>
      </c>
      <c r="P235" s="656">
        <v>0.12</v>
      </c>
      <c r="Q235" s="656">
        <v>0.12</v>
      </c>
      <c r="R235" s="656">
        <v>0.12</v>
      </c>
      <c r="S235" s="656">
        <v>0.12</v>
      </c>
      <c r="T235" s="656">
        <v>0.12</v>
      </c>
      <c r="U235" s="656">
        <v>0.12</v>
      </c>
      <c r="V235" s="656">
        <v>0.12</v>
      </c>
      <c r="W235" s="656">
        <v>0.12</v>
      </c>
      <c r="X235" s="656">
        <v>0.12</v>
      </c>
      <c r="Y235" s="656">
        <v>0.12</v>
      </c>
      <c r="Z235" s="656">
        <v>0.12</v>
      </c>
      <c r="AA235" s="656">
        <v>0.12</v>
      </c>
      <c r="AB235" s="656">
        <v>0.12</v>
      </c>
      <c r="AC235" s="656">
        <v>0.12</v>
      </c>
      <c r="AD235" s="656">
        <v>0.12</v>
      </c>
      <c r="AE235" s="656">
        <v>0.12</v>
      </c>
      <c r="AF235" s="656">
        <v>0.12</v>
      </c>
      <c r="AG235" s="656">
        <v>0.12</v>
      </c>
      <c r="AH235" s="656">
        <v>0.12</v>
      </c>
      <c r="AI235" s="656">
        <v>0.12</v>
      </c>
      <c r="AJ235" s="656">
        <v>0.12</v>
      </c>
      <c r="AK235" s="656">
        <v>0.12</v>
      </c>
      <c r="AL235" s="656">
        <v>0.12</v>
      </c>
      <c r="AM235" s="656">
        <v>0.12</v>
      </c>
      <c r="AN235" s="656">
        <v>0.12</v>
      </c>
      <c r="AO235" s="656">
        <v>0.12</v>
      </c>
      <c r="AP235" s="656">
        <v>0.12</v>
      </c>
      <c r="AQ235" s="656">
        <v>0.12</v>
      </c>
      <c r="AR235" s="656">
        <v>0.12</v>
      </c>
      <c r="AS235" s="656">
        <v>0.12</v>
      </c>
      <c r="AT235" s="656">
        <v>0.12</v>
      </c>
      <c r="AU235" s="656">
        <v>0.12</v>
      </c>
      <c r="AV235" s="656">
        <v>0.12</v>
      </c>
      <c r="AW235" s="656">
        <v>0.12</v>
      </c>
      <c r="AX235" s="656">
        <v>0.12</v>
      </c>
      <c r="AY235" s="656">
        <v>0.12</v>
      </c>
      <c r="AZ235" s="656">
        <v>0.12</v>
      </c>
      <c r="BA235" s="656">
        <v>0.12</v>
      </c>
      <c r="BB235" s="656">
        <v>0.12</v>
      </c>
      <c r="BC235" s="656">
        <v>0.12</v>
      </c>
      <c r="BD235" s="656">
        <v>0.12</v>
      </c>
      <c r="BE235" s="656">
        <v>0.12</v>
      </c>
      <c r="BF235" s="656">
        <v>0.12</v>
      </c>
      <c r="BG235" s="656">
        <v>0.12</v>
      </c>
      <c r="BH235" s="656">
        <v>0.12</v>
      </c>
      <c r="BI235" s="656">
        <v>0.12</v>
      </c>
      <c r="BJ235" s="656">
        <v>0.12</v>
      </c>
      <c r="BK235" s="656">
        <v>0.12</v>
      </c>
      <c r="BL235" s="656">
        <v>0.12</v>
      </c>
      <c r="BM235" s="656">
        <v>0.12</v>
      </c>
      <c r="BN235" s="656">
        <v>0.12</v>
      </c>
      <c r="BO235" s="656">
        <v>0.12</v>
      </c>
      <c r="BP235" s="656">
        <v>0.12</v>
      </c>
      <c r="BQ235" s="656">
        <v>0.12</v>
      </c>
      <c r="BR235" s="656">
        <v>0.12</v>
      </c>
      <c r="BS235" s="656">
        <v>0.12</v>
      </c>
      <c r="BT235" s="656">
        <v>0.12</v>
      </c>
      <c r="BU235" s="656">
        <v>0.12</v>
      </c>
      <c r="BV235" s="656">
        <v>0.12</v>
      </c>
      <c r="BW235" s="656">
        <v>0.12</v>
      </c>
      <c r="BX235" s="656">
        <v>0.12</v>
      </c>
      <c r="BY235" s="656">
        <v>0.12</v>
      </c>
      <c r="BZ235" s="656">
        <v>0.12</v>
      </c>
      <c r="CA235" s="656">
        <v>0.12</v>
      </c>
      <c r="CB235" s="656">
        <v>0.12</v>
      </c>
      <c r="CC235" s="656">
        <v>0.12</v>
      </c>
      <c r="CD235" s="656">
        <v>0.12</v>
      </c>
      <c r="CE235" s="656">
        <v>0.12</v>
      </c>
      <c r="CF235" s="656">
        <v>0.12</v>
      </c>
      <c r="CG235" s="656">
        <v>0.12</v>
      </c>
      <c r="CH235" s="656">
        <v>0.12</v>
      </c>
      <c r="CI235" s="657">
        <v>0.12</v>
      </c>
      <c r="CJ235" s="1410"/>
      <c r="CK235" s="605"/>
    </row>
    <row r="236" spans="1:89" s="64" customFormat="1" x14ac:dyDescent="0.35">
      <c r="A236" s="58"/>
      <c r="B236" s="899" t="s">
        <v>377</v>
      </c>
      <c r="C236" s="900" t="s">
        <v>378</v>
      </c>
      <c r="D236" s="901" t="s">
        <v>82</v>
      </c>
      <c r="E236" s="902" t="s">
        <v>305</v>
      </c>
      <c r="F236" s="903">
        <v>2</v>
      </c>
      <c r="G236" s="602">
        <v>0.16</v>
      </c>
      <c r="H236" s="602">
        <v>0.15</v>
      </c>
      <c r="I236" s="602">
        <v>0.15</v>
      </c>
      <c r="J236" s="602">
        <v>0.15</v>
      </c>
      <c r="K236" s="602">
        <v>0.15</v>
      </c>
      <c r="L236" s="602">
        <v>0.15</v>
      </c>
      <c r="M236" s="603">
        <v>0.15</v>
      </c>
      <c r="N236" s="603">
        <v>0.15</v>
      </c>
      <c r="O236" s="603">
        <v>0.15</v>
      </c>
      <c r="P236" s="603">
        <v>0.15</v>
      </c>
      <c r="Q236" s="603">
        <v>0.15</v>
      </c>
      <c r="R236" s="603">
        <v>0.15</v>
      </c>
      <c r="S236" s="603">
        <v>0.15</v>
      </c>
      <c r="T236" s="603">
        <v>0.15</v>
      </c>
      <c r="U236" s="603">
        <v>0.15</v>
      </c>
      <c r="V236" s="603">
        <v>0.15</v>
      </c>
      <c r="W236" s="603">
        <v>0.15</v>
      </c>
      <c r="X236" s="603">
        <v>0.15</v>
      </c>
      <c r="Y236" s="603">
        <v>0.15</v>
      </c>
      <c r="Z236" s="603">
        <v>0.15</v>
      </c>
      <c r="AA236" s="603">
        <v>0.15</v>
      </c>
      <c r="AB236" s="603">
        <v>0.15</v>
      </c>
      <c r="AC236" s="603">
        <v>0.15</v>
      </c>
      <c r="AD236" s="603">
        <v>0.15</v>
      </c>
      <c r="AE236" s="603">
        <v>0.15</v>
      </c>
      <c r="AF236" s="603">
        <v>0.15</v>
      </c>
      <c r="AG236" s="603">
        <v>0.15</v>
      </c>
      <c r="AH236" s="603">
        <v>0.15</v>
      </c>
      <c r="AI236" s="603">
        <v>0.15</v>
      </c>
      <c r="AJ236" s="603">
        <v>0.15</v>
      </c>
      <c r="AK236" s="603">
        <v>0.15</v>
      </c>
      <c r="AL236" s="603">
        <v>0.15</v>
      </c>
      <c r="AM236" s="603">
        <v>0.15</v>
      </c>
      <c r="AN236" s="603">
        <v>0.15</v>
      </c>
      <c r="AO236" s="603">
        <v>0.15</v>
      </c>
      <c r="AP236" s="603">
        <v>0.15</v>
      </c>
      <c r="AQ236" s="603">
        <v>0.15</v>
      </c>
      <c r="AR236" s="603">
        <v>0.15</v>
      </c>
      <c r="AS236" s="603">
        <v>0.15</v>
      </c>
      <c r="AT236" s="603">
        <v>0.15</v>
      </c>
      <c r="AU236" s="603">
        <v>0.15</v>
      </c>
      <c r="AV236" s="603">
        <v>0.15</v>
      </c>
      <c r="AW236" s="603">
        <v>0.15</v>
      </c>
      <c r="AX236" s="603">
        <v>0.15</v>
      </c>
      <c r="AY236" s="603">
        <v>0.15</v>
      </c>
      <c r="AZ236" s="603">
        <v>0.15</v>
      </c>
      <c r="BA236" s="603">
        <v>0.15</v>
      </c>
      <c r="BB236" s="603">
        <v>0.15</v>
      </c>
      <c r="BC236" s="603">
        <v>0.15</v>
      </c>
      <c r="BD236" s="603">
        <v>0.15</v>
      </c>
      <c r="BE236" s="603">
        <v>0.15</v>
      </c>
      <c r="BF236" s="603">
        <v>0.15</v>
      </c>
      <c r="BG236" s="603">
        <v>0.15</v>
      </c>
      <c r="BH236" s="603">
        <v>0.15</v>
      </c>
      <c r="BI236" s="603">
        <v>0.15</v>
      </c>
      <c r="BJ236" s="603">
        <v>0.15</v>
      </c>
      <c r="BK236" s="603">
        <v>0.15</v>
      </c>
      <c r="BL236" s="603">
        <v>0.15</v>
      </c>
      <c r="BM236" s="603">
        <v>0.15</v>
      </c>
      <c r="BN236" s="603">
        <v>0.15</v>
      </c>
      <c r="BO236" s="603">
        <v>0.15</v>
      </c>
      <c r="BP236" s="603">
        <v>0.15</v>
      </c>
      <c r="BQ236" s="603">
        <v>0.15</v>
      </c>
      <c r="BR236" s="603">
        <v>0.15</v>
      </c>
      <c r="BS236" s="603">
        <v>0.15</v>
      </c>
      <c r="BT236" s="603">
        <v>0.15</v>
      </c>
      <c r="BU236" s="603">
        <v>0.15</v>
      </c>
      <c r="BV236" s="603">
        <v>0.15</v>
      </c>
      <c r="BW236" s="603">
        <v>0.15</v>
      </c>
      <c r="BX236" s="603">
        <v>0.15</v>
      </c>
      <c r="BY236" s="603">
        <v>0.15</v>
      </c>
      <c r="BZ236" s="603">
        <v>0.15</v>
      </c>
      <c r="CA236" s="603">
        <v>0.15</v>
      </c>
      <c r="CB236" s="603">
        <v>0.15</v>
      </c>
      <c r="CC236" s="603">
        <v>0.15</v>
      </c>
      <c r="CD236" s="603">
        <v>0.15</v>
      </c>
      <c r="CE236" s="603">
        <v>0.15</v>
      </c>
      <c r="CF236" s="603">
        <v>0.15</v>
      </c>
      <c r="CG236" s="603">
        <v>0.15</v>
      </c>
      <c r="CH236" s="603">
        <v>0.15</v>
      </c>
      <c r="CI236" s="604">
        <v>0.15</v>
      </c>
      <c r="CJ236" s="1410"/>
      <c r="CK236" s="605"/>
    </row>
    <row r="237" spans="1:89" s="64" customFormat="1" x14ac:dyDescent="0.35">
      <c r="A237" s="58"/>
      <c r="B237" s="909" t="s">
        <v>379</v>
      </c>
      <c r="C237" s="910" t="s">
        <v>380</v>
      </c>
      <c r="D237" s="906" t="s">
        <v>82</v>
      </c>
      <c r="E237" s="907" t="s">
        <v>305</v>
      </c>
      <c r="F237" s="908">
        <v>2</v>
      </c>
      <c r="G237" s="611">
        <v>0.02</v>
      </c>
      <c r="H237" s="611">
        <v>0.02</v>
      </c>
      <c r="I237" s="611">
        <v>0.02</v>
      </c>
      <c r="J237" s="611">
        <v>0.02</v>
      </c>
      <c r="K237" s="611">
        <v>0.02</v>
      </c>
      <c r="L237" s="611">
        <v>0.02</v>
      </c>
      <c r="M237" s="615">
        <v>0.02</v>
      </c>
      <c r="N237" s="615">
        <v>0.02</v>
      </c>
      <c r="O237" s="615">
        <v>0.02</v>
      </c>
      <c r="P237" s="615">
        <v>0.02</v>
      </c>
      <c r="Q237" s="615">
        <v>0.02</v>
      </c>
      <c r="R237" s="615">
        <v>0.02</v>
      </c>
      <c r="S237" s="615">
        <v>0.02</v>
      </c>
      <c r="T237" s="615">
        <v>0.02</v>
      </c>
      <c r="U237" s="615">
        <v>0.02</v>
      </c>
      <c r="V237" s="615">
        <v>0.02</v>
      </c>
      <c r="W237" s="615">
        <v>0.02</v>
      </c>
      <c r="X237" s="615">
        <v>0.02</v>
      </c>
      <c r="Y237" s="615">
        <v>0.02</v>
      </c>
      <c r="Z237" s="615">
        <v>0.02</v>
      </c>
      <c r="AA237" s="615">
        <v>0.02</v>
      </c>
      <c r="AB237" s="615">
        <v>0.02</v>
      </c>
      <c r="AC237" s="615">
        <v>0.02</v>
      </c>
      <c r="AD237" s="615">
        <v>0.02</v>
      </c>
      <c r="AE237" s="615">
        <v>0.02</v>
      </c>
      <c r="AF237" s="615">
        <v>0.02</v>
      </c>
      <c r="AG237" s="615">
        <v>0.02</v>
      </c>
      <c r="AH237" s="615">
        <v>0.02</v>
      </c>
      <c r="AI237" s="615">
        <v>0.02</v>
      </c>
      <c r="AJ237" s="615">
        <v>0.02</v>
      </c>
      <c r="AK237" s="615">
        <v>0.02</v>
      </c>
      <c r="AL237" s="615">
        <v>0.02</v>
      </c>
      <c r="AM237" s="615">
        <v>0.02</v>
      </c>
      <c r="AN237" s="615">
        <v>0.02</v>
      </c>
      <c r="AO237" s="615">
        <v>0.02</v>
      </c>
      <c r="AP237" s="615">
        <v>0.02</v>
      </c>
      <c r="AQ237" s="615">
        <v>0.02</v>
      </c>
      <c r="AR237" s="615">
        <v>0.02</v>
      </c>
      <c r="AS237" s="615">
        <v>0.02</v>
      </c>
      <c r="AT237" s="615">
        <v>0.02</v>
      </c>
      <c r="AU237" s="615">
        <v>0.02</v>
      </c>
      <c r="AV237" s="615">
        <v>0.02</v>
      </c>
      <c r="AW237" s="615">
        <v>0.02</v>
      </c>
      <c r="AX237" s="615">
        <v>0.02</v>
      </c>
      <c r="AY237" s="615">
        <v>0.02</v>
      </c>
      <c r="AZ237" s="615">
        <v>0.02</v>
      </c>
      <c r="BA237" s="615">
        <v>0.02</v>
      </c>
      <c r="BB237" s="615">
        <v>0.02</v>
      </c>
      <c r="BC237" s="615">
        <v>0.02</v>
      </c>
      <c r="BD237" s="615">
        <v>0.02</v>
      </c>
      <c r="BE237" s="615">
        <v>0.02</v>
      </c>
      <c r="BF237" s="615">
        <v>0.02</v>
      </c>
      <c r="BG237" s="615">
        <v>0.02</v>
      </c>
      <c r="BH237" s="615">
        <v>0.02</v>
      </c>
      <c r="BI237" s="615">
        <v>0.02</v>
      </c>
      <c r="BJ237" s="615">
        <v>0.02</v>
      </c>
      <c r="BK237" s="615">
        <v>0.02</v>
      </c>
      <c r="BL237" s="615">
        <v>0.02</v>
      </c>
      <c r="BM237" s="615">
        <v>0.02</v>
      </c>
      <c r="BN237" s="615">
        <v>0.02</v>
      </c>
      <c r="BO237" s="615">
        <v>0.02</v>
      </c>
      <c r="BP237" s="615">
        <v>0.02</v>
      </c>
      <c r="BQ237" s="615">
        <v>0.02</v>
      </c>
      <c r="BR237" s="615">
        <v>0.02</v>
      </c>
      <c r="BS237" s="615">
        <v>0.02</v>
      </c>
      <c r="BT237" s="615">
        <v>0.02</v>
      </c>
      <c r="BU237" s="615">
        <v>0.02</v>
      </c>
      <c r="BV237" s="615">
        <v>0.02</v>
      </c>
      <c r="BW237" s="615">
        <v>0.02</v>
      </c>
      <c r="BX237" s="615">
        <v>0.02</v>
      </c>
      <c r="BY237" s="615">
        <v>0.02</v>
      </c>
      <c r="BZ237" s="615">
        <v>0.02</v>
      </c>
      <c r="CA237" s="615">
        <v>0.02</v>
      </c>
      <c r="CB237" s="615">
        <v>0.02</v>
      </c>
      <c r="CC237" s="615">
        <v>0.02</v>
      </c>
      <c r="CD237" s="615">
        <v>0.02</v>
      </c>
      <c r="CE237" s="615">
        <v>0.02</v>
      </c>
      <c r="CF237" s="615">
        <v>0.02</v>
      </c>
      <c r="CG237" s="615">
        <v>0.02</v>
      </c>
      <c r="CH237" s="615">
        <v>0.02</v>
      </c>
      <c r="CI237" s="616">
        <v>0.02</v>
      </c>
      <c r="CJ237" s="1410"/>
      <c r="CK237" s="605"/>
    </row>
    <row r="238" spans="1:89" s="64" customFormat="1" x14ac:dyDescent="0.35">
      <c r="A238" s="58"/>
      <c r="B238" s="909" t="s">
        <v>381</v>
      </c>
      <c r="C238" s="910" t="s">
        <v>382</v>
      </c>
      <c r="D238" s="906" t="s">
        <v>82</v>
      </c>
      <c r="E238" s="907" t="s">
        <v>305</v>
      </c>
      <c r="F238" s="908">
        <v>2</v>
      </c>
      <c r="G238" s="611">
        <v>2.54</v>
      </c>
      <c r="H238" s="611">
        <v>2.61</v>
      </c>
      <c r="I238" s="611">
        <v>2.72</v>
      </c>
      <c r="J238" s="611">
        <v>2.72</v>
      </c>
      <c r="K238" s="611">
        <v>2.72</v>
      </c>
      <c r="L238" s="611">
        <v>2.72</v>
      </c>
      <c r="M238" s="615">
        <v>2.72</v>
      </c>
      <c r="N238" s="615">
        <v>2.72</v>
      </c>
      <c r="O238" s="615">
        <v>2.72</v>
      </c>
      <c r="P238" s="615">
        <v>2.72</v>
      </c>
      <c r="Q238" s="615">
        <v>2.72</v>
      </c>
      <c r="R238" s="615">
        <v>2.72</v>
      </c>
      <c r="S238" s="615">
        <v>2.72</v>
      </c>
      <c r="T238" s="615">
        <v>2.72</v>
      </c>
      <c r="U238" s="615">
        <v>2.72</v>
      </c>
      <c r="V238" s="615">
        <v>2.72</v>
      </c>
      <c r="W238" s="615">
        <v>2.72</v>
      </c>
      <c r="X238" s="615">
        <v>2.72</v>
      </c>
      <c r="Y238" s="615">
        <v>2.72</v>
      </c>
      <c r="Z238" s="615">
        <v>2.72</v>
      </c>
      <c r="AA238" s="615">
        <v>2.72</v>
      </c>
      <c r="AB238" s="615">
        <v>2.72</v>
      </c>
      <c r="AC238" s="615">
        <v>2.72</v>
      </c>
      <c r="AD238" s="615">
        <v>2.72</v>
      </c>
      <c r="AE238" s="615">
        <v>2.72</v>
      </c>
      <c r="AF238" s="615">
        <v>2.72</v>
      </c>
      <c r="AG238" s="615">
        <v>2.72</v>
      </c>
      <c r="AH238" s="615">
        <v>2.72</v>
      </c>
      <c r="AI238" s="615">
        <v>2.72</v>
      </c>
      <c r="AJ238" s="615">
        <v>2.72</v>
      </c>
      <c r="AK238" s="615">
        <v>2.72</v>
      </c>
      <c r="AL238" s="615">
        <v>2.72</v>
      </c>
      <c r="AM238" s="615">
        <v>2.72</v>
      </c>
      <c r="AN238" s="615">
        <v>2.72</v>
      </c>
      <c r="AO238" s="615">
        <v>2.72</v>
      </c>
      <c r="AP238" s="615">
        <v>2.72</v>
      </c>
      <c r="AQ238" s="615">
        <v>2.72</v>
      </c>
      <c r="AR238" s="615">
        <v>2.72</v>
      </c>
      <c r="AS238" s="615">
        <v>2.72</v>
      </c>
      <c r="AT238" s="615">
        <v>2.72</v>
      </c>
      <c r="AU238" s="615">
        <v>2.72</v>
      </c>
      <c r="AV238" s="615">
        <v>2.72</v>
      </c>
      <c r="AW238" s="615">
        <v>2.72</v>
      </c>
      <c r="AX238" s="615">
        <v>2.72</v>
      </c>
      <c r="AY238" s="615">
        <v>2.72</v>
      </c>
      <c r="AZ238" s="615">
        <v>2.72</v>
      </c>
      <c r="BA238" s="615">
        <v>2.72</v>
      </c>
      <c r="BB238" s="615">
        <v>2.72</v>
      </c>
      <c r="BC238" s="615">
        <v>2.72</v>
      </c>
      <c r="BD238" s="615">
        <v>2.72</v>
      </c>
      <c r="BE238" s="615">
        <v>2.72</v>
      </c>
      <c r="BF238" s="615">
        <v>2.72</v>
      </c>
      <c r="BG238" s="615">
        <v>2.72</v>
      </c>
      <c r="BH238" s="615">
        <v>2.72</v>
      </c>
      <c r="BI238" s="615">
        <v>2.72</v>
      </c>
      <c r="BJ238" s="615">
        <v>2.72</v>
      </c>
      <c r="BK238" s="615">
        <v>2.72</v>
      </c>
      <c r="BL238" s="615">
        <v>2.72</v>
      </c>
      <c r="BM238" s="615">
        <v>2.72</v>
      </c>
      <c r="BN238" s="615">
        <v>2.72</v>
      </c>
      <c r="BO238" s="615">
        <v>2.72</v>
      </c>
      <c r="BP238" s="615">
        <v>2.72</v>
      </c>
      <c r="BQ238" s="615">
        <v>2.72</v>
      </c>
      <c r="BR238" s="615">
        <v>2.72</v>
      </c>
      <c r="BS238" s="615">
        <v>2.72</v>
      </c>
      <c r="BT238" s="615">
        <v>2.72</v>
      </c>
      <c r="BU238" s="615">
        <v>2.72</v>
      </c>
      <c r="BV238" s="615">
        <v>2.72</v>
      </c>
      <c r="BW238" s="615">
        <v>2.72</v>
      </c>
      <c r="BX238" s="615">
        <v>2.72</v>
      </c>
      <c r="BY238" s="615">
        <v>2.72</v>
      </c>
      <c r="BZ238" s="615">
        <v>2.72</v>
      </c>
      <c r="CA238" s="615">
        <v>2.72</v>
      </c>
      <c r="CB238" s="615">
        <v>2.72</v>
      </c>
      <c r="CC238" s="615">
        <v>2.72</v>
      </c>
      <c r="CD238" s="615">
        <v>2.72</v>
      </c>
      <c r="CE238" s="615">
        <v>2.72</v>
      </c>
      <c r="CF238" s="615">
        <v>2.72</v>
      </c>
      <c r="CG238" s="615">
        <v>2.72</v>
      </c>
      <c r="CH238" s="615">
        <v>2.72</v>
      </c>
      <c r="CI238" s="616">
        <v>2.72</v>
      </c>
      <c r="CJ238" s="1410"/>
      <c r="CK238" s="605"/>
    </row>
    <row r="239" spans="1:89" s="64" customFormat="1" x14ac:dyDescent="0.35">
      <c r="A239" s="58"/>
      <c r="B239" s="909" t="s">
        <v>383</v>
      </c>
      <c r="C239" s="910" t="s">
        <v>384</v>
      </c>
      <c r="D239" s="906" t="s">
        <v>82</v>
      </c>
      <c r="E239" s="907" t="s">
        <v>305</v>
      </c>
      <c r="F239" s="908">
        <v>2</v>
      </c>
      <c r="G239" s="611">
        <v>1.25</v>
      </c>
      <c r="H239" s="611">
        <v>1.22</v>
      </c>
      <c r="I239" s="611">
        <v>1.2</v>
      </c>
      <c r="J239" s="611">
        <v>1.2</v>
      </c>
      <c r="K239" s="611">
        <v>1.2</v>
      </c>
      <c r="L239" s="611">
        <v>1.2</v>
      </c>
      <c r="M239" s="615">
        <v>1.2</v>
      </c>
      <c r="N239" s="615">
        <v>1.2</v>
      </c>
      <c r="O239" s="615">
        <v>1.2</v>
      </c>
      <c r="P239" s="615">
        <v>1.2</v>
      </c>
      <c r="Q239" s="615">
        <v>1.2</v>
      </c>
      <c r="R239" s="615">
        <v>1.2</v>
      </c>
      <c r="S239" s="615">
        <v>1.2</v>
      </c>
      <c r="T239" s="615">
        <v>1.2</v>
      </c>
      <c r="U239" s="615">
        <v>1.2</v>
      </c>
      <c r="V239" s="615">
        <v>1.2</v>
      </c>
      <c r="W239" s="615">
        <v>1.2</v>
      </c>
      <c r="X239" s="615">
        <v>1.2</v>
      </c>
      <c r="Y239" s="615">
        <v>1.2</v>
      </c>
      <c r="Z239" s="615">
        <v>1.2</v>
      </c>
      <c r="AA239" s="615">
        <v>1.2</v>
      </c>
      <c r="AB239" s="615">
        <v>1.2</v>
      </c>
      <c r="AC239" s="615">
        <v>1.2</v>
      </c>
      <c r="AD239" s="615">
        <v>1.2</v>
      </c>
      <c r="AE239" s="615">
        <v>1.2</v>
      </c>
      <c r="AF239" s="615">
        <v>1.2</v>
      </c>
      <c r="AG239" s="615">
        <v>1.2</v>
      </c>
      <c r="AH239" s="615">
        <v>1.2</v>
      </c>
      <c r="AI239" s="615">
        <v>1.2</v>
      </c>
      <c r="AJ239" s="615">
        <v>1.2</v>
      </c>
      <c r="AK239" s="615">
        <v>1.2</v>
      </c>
      <c r="AL239" s="615">
        <v>1.2</v>
      </c>
      <c r="AM239" s="615">
        <v>1.2</v>
      </c>
      <c r="AN239" s="615">
        <v>1.2</v>
      </c>
      <c r="AO239" s="615">
        <v>1.2</v>
      </c>
      <c r="AP239" s="615">
        <v>1.2</v>
      </c>
      <c r="AQ239" s="615">
        <v>1.2</v>
      </c>
      <c r="AR239" s="615">
        <v>1.2</v>
      </c>
      <c r="AS239" s="615">
        <v>1.2</v>
      </c>
      <c r="AT239" s="615">
        <v>1.2</v>
      </c>
      <c r="AU239" s="615">
        <v>1.2</v>
      </c>
      <c r="AV239" s="615">
        <v>1.2</v>
      </c>
      <c r="AW239" s="615">
        <v>1.2</v>
      </c>
      <c r="AX239" s="615">
        <v>1.2</v>
      </c>
      <c r="AY239" s="615">
        <v>1.2</v>
      </c>
      <c r="AZ239" s="615">
        <v>1.2</v>
      </c>
      <c r="BA239" s="615">
        <v>1.2</v>
      </c>
      <c r="BB239" s="615">
        <v>1.2</v>
      </c>
      <c r="BC239" s="615">
        <v>1.2</v>
      </c>
      <c r="BD239" s="615">
        <v>1.2</v>
      </c>
      <c r="BE239" s="615">
        <v>1.2</v>
      </c>
      <c r="BF239" s="615">
        <v>1.2</v>
      </c>
      <c r="BG239" s="615">
        <v>1.2</v>
      </c>
      <c r="BH239" s="615">
        <v>1.2</v>
      </c>
      <c r="BI239" s="615">
        <v>1.2</v>
      </c>
      <c r="BJ239" s="615">
        <v>1.2</v>
      </c>
      <c r="BK239" s="615">
        <v>1.2</v>
      </c>
      <c r="BL239" s="615">
        <v>1.2</v>
      </c>
      <c r="BM239" s="615">
        <v>1.2</v>
      </c>
      <c r="BN239" s="615">
        <v>1.2</v>
      </c>
      <c r="BO239" s="615">
        <v>1.2</v>
      </c>
      <c r="BP239" s="615">
        <v>1.2</v>
      </c>
      <c r="BQ239" s="615">
        <v>1.2</v>
      </c>
      <c r="BR239" s="615">
        <v>1.2</v>
      </c>
      <c r="BS239" s="615">
        <v>1.2</v>
      </c>
      <c r="BT239" s="615">
        <v>1.2</v>
      </c>
      <c r="BU239" s="615">
        <v>1.2</v>
      </c>
      <c r="BV239" s="615">
        <v>1.2</v>
      </c>
      <c r="BW239" s="615">
        <v>1.2</v>
      </c>
      <c r="BX239" s="615">
        <v>1.2</v>
      </c>
      <c r="BY239" s="615">
        <v>1.2</v>
      </c>
      <c r="BZ239" s="615">
        <v>1.2</v>
      </c>
      <c r="CA239" s="615">
        <v>1.2</v>
      </c>
      <c r="CB239" s="615">
        <v>1.2</v>
      </c>
      <c r="CC239" s="615">
        <v>1.2</v>
      </c>
      <c r="CD239" s="615">
        <v>1.2</v>
      </c>
      <c r="CE239" s="615">
        <v>1.2</v>
      </c>
      <c r="CF239" s="615">
        <v>1.2</v>
      </c>
      <c r="CG239" s="615">
        <v>1.2</v>
      </c>
      <c r="CH239" s="615">
        <v>1.2</v>
      </c>
      <c r="CI239" s="616">
        <v>1.2</v>
      </c>
      <c r="CJ239" s="1410"/>
      <c r="CK239" s="605"/>
    </row>
    <row r="240" spans="1:89" s="64" customFormat="1" x14ac:dyDescent="0.35">
      <c r="A240" s="58"/>
      <c r="B240" s="909" t="s">
        <v>385</v>
      </c>
      <c r="C240" s="910" t="s">
        <v>386</v>
      </c>
      <c r="D240" s="906" t="s">
        <v>82</v>
      </c>
      <c r="E240" s="907" t="s">
        <v>305</v>
      </c>
      <c r="F240" s="908">
        <v>2</v>
      </c>
      <c r="G240" s="611">
        <v>0.12</v>
      </c>
      <c r="H240" s="611">
        <v>0.12</v>
      </c>
      <c r="I240" s="611">
        <v>0.12</v>
      </c>
      <c r="J240" s="611">
        <v>0.12</v>
      </c>
      <c r="K240" s="611">
        <v>0.12</v>
      </c>
      <c r="L240" s="611">
        <v>0.12</v>
      </c>
      <c r="M240" s="615">
        <v>0.12</v>
      </c>
      <c r="N240" s="615">
        <v>0.12</v>
      </c>
      <c r="O240" s="615">
        <v>0.12</v>
      </c>
      <c r="P240" s="615">
        <v>0.12</v>
      </c>
      <c r="Q240" s="615">
        <v>0.12</v>
      </c>
      <c r="R240" s="615">
        <v>0.12</v>
      </c>
      <c r="S240" s="615">
        <v>0.12</v>
      </c>
      <c r="T240" s="615">
        <v>0.12</v>
      </c>
      <c r="U240" s="615">
        <v>0.12</v>
      </c>
      <c r="V240" s="615">
        <v>0.12</v>
      </c>
      <c r="W240" s="615">
        <v>0.12</v>
      </c>
      <c r="X240" s="615">
        <v>0.12</v>
      </c>
      <c r="Y240" s="615">
        <v>0.12</v>
      </c>
      <c r="Z240" s="615">
        <v>0.12</v>
      </c>
      <c r="AA240" s="615">
        <v>0.12</v>
      </c>
      <c r="AB240" s="615">
        <v>0.12</v>
      </c>
      <c r="AC240" s="615">
        <v>0.12</v>
      </c>
      <c r="AD240" s="615">
        <v>0.12</v>
      </c>
      <c r="AE240" s="615">
        <v>0.12</v>
      </c>
      <c r="AF240" s="615">
        <v>0.12</v>
      </c>
      <c r="AG240" s="615">
        <v>0.12</v>
      </c>
      <c r="AH240" s="615">
        <v>0.12</v>
      </c>
      <c r="AI240" s="615">
        <v>0.12</v>
      </c>
      <c r="AJ240" s="615">
        <v>0.12</v>
      </c>
      <c r="AK240" s="615">
        <v>0.12</v>
      </c>
      <c r="AL240" s="615">
        <v>0.12</v>
      </c>
      <c r="AM240" s="615">
        <v>0.12</v>
      </c>
      <c r="AN240" s="615">
        <v>0.12</v>
      </c>
      <c r="AO240" s="615">
        <v>0.12</v>
      </c>
      <c r="AP240" s="615">
        <v>0.12</v>
      </c>
      <c r="AQ240" s="615">
        <v>0.12</v>
      </c>
      <c r="AR240" s="615">
        <v>0.12</v>
      </c>
      <c r="AS240" s="615">
        <v>0.12</v>
      </c>
      <c r="AT240" s="615">
        <v>0.12</v>
      </c>
      <c r="AU240" s="615">
        <v>0.12</v>
      </c>
      <c r="AV240" s="615">
        <v>0.12</v>
      </c>
      <c r="AW240" s="615">
        <v>0.12</v>
      </c>
      <c r="AX240" s="615">
        <v>0.12</v>
      </c>
      <c r="AY240" s="615">
        <v>0.12</v>
      </c>
      <c r="AZ240" s="615">
        <v>0.12</v>
      </c>
      <c r="BA240" s="615">
        <v>0.12</v>
      </c>
      <c r="BB240" s="615">
        <v>0.12</v>
      </c>
      <c r="BC240" s="615">
        <v>0.12</v>
      </c>
      <c r="BD240" s="615">
        <v>0.12</v>
      </c>
      <c r="BE240" s="615">
        <v>0.12</v>
      </c>
      <c r="BF240" s="615">
        <v>0.12</v>
      </c>
      <c r="BG240" s="615">
        <v>0.12</v>
      </c>
      <c r="BH240" s="615">
        <v>0.12</v>
      </c>
      <c r="BI240" s="615">
        <v>0.12</v>
      </c>
      <c r="BJ240" s="615">
        <v>0.12</v>
      </c>
      <c r="BK240" s="615">
        <v>0.12</v>
      </c>
      <c r="BL240" s="615">
        <v>0.12</v>
      </c>
      <c r="BM240" s="615">
        <v>0.12</v>
      </c>
      <c r="BN240" s="615">
        <v>0.12</v>
      </c>
      <c r="BO240" s="615">
        <v>0.12</v>
      </c>
      <c r="BP240" s="615">
        <v>0.12</v>
      </c>
      <c r="BQ240" s="615">
        <v>0.12</v>
      </c>
      <c r="BR240" s="615">
        <v>0.12</v>
      </c>
      <c r="BS240" s="615">
        <v>0.12</v>
      </c>
      <c r="BT240" s="615">
        <v>0.12</v>
      </c>
      <c r="BU240" s="615">
        <v>0.12</v>
      </c>
      <c r="BV240" s="615">
        <v>0.12</v>
      </c>
      <c r="BW240" s="615">
        <v>0.12</v>
      </c>
      <c r="BX240" s="615">
        <v>0.12</v>
      </c>
      <c r="BY240" s="615">
        <v>0.12</v>
      </c>
      <c r="BZ240" s="615">
        <v>0.12</v>
      </c>
      <c r="CA240" s="615">
        <v>0.12</v>
      </c>
      <c r="CB240" s="615">
        <v>0.12</v>
      </c>
      <c r="CC240" s="615">
        <v>0.12</v>
      </c>
      <c r="CD240" s="615">
        <v>0.12</v>
      </c>
      <c r="CE240" s="615">
        <v>0.12</v>
      </c>
      <c r="CF240" s="615">
        <v>0.12</v>
      </c>
      <c r="CG240" s="615">
        <v>0.12</v>
      </c>
      <c r="CH240" s="615">
        <v>0.12</v>
      </c>
      <c r="CI240" s="616">
        <v>0.12</v>
      </c>
      <c r="CJ240" s="1410"/>
      <c r="CK240" s="605"/>
    </row>
    <row r="241" spans="1:89" s="64" customFormat="1" x14ac:dyDescent="0.35">
      <c r="A241" s="58"/>
      <c r="B241" s="909" t="s">
        <v>387</v>
      </c>
      <c r="C241" s="905" t="s">
        <v>388</v>
      </c>
      <c r="D241" s="906" t="s">
        <v>82</v>
      </c>
      <c r="E241" s="907" t="s">
        <v>305</v>
      </c>
      <c r="F241" s="908">
        <v>2</v>
      </c>
      <c r="G241" s="611">
        <v>9.41</v>
      </c>
      <c r="H241" s="611">
        <v>9.3800000000000008</v>
      </c>
      <c r="I241" s="611">
        <v>9.3000000000000007</v>
      </c>
      <c r="J241" s="611">
        <v>9.3000000000000007</v>
      </c>
      <c r="K241" s="611">
        <v>9.3000000000000007</v>
      </c>
      <c r="L241" s="611">
        <v>8.99</v>
      </c>
      <c r="M241" s="615">
        <v>8.99</v>
      </c>
      <c r="N241" s="615">
        <v>8.99</v>
      </c>
      <c r="O241" s="615">
        <v>8.99</v>
      </c>
      <c r="P241" s="615">
        <v>8.99</v>
      </c>
      <c r="Q241" s="615">
        <v>8.99</v>
      </c>
      <c r="R241" s="615">
        <v>8.99</v>
      </c>
      <c r="S241" s="615">
        <v>8.99</v>
      </c>
      <c r="T241" s="615">
        <v>8.99</v>
      </c>
      <c r="U241" s="615">
        <v>8.99</v>
      </c>
      <c r="V241" s="615">
        <v>8.99</v>
      </c>
      <c r="W241" s="615">
        <v>8.99</v>
      </c>
      <c r="X241" s="615">
        <v>8.99</v>
      </c>
      <c r="Y241" s="615">
        <v>8.99</v>
      </c>
      <c r="Z241" s="615">
        <v>8.99</v>
      </c>
      <c r="AA241" s="615">
        <v>8.99</v>
      </c>
      <c r="AB241" s="615">
        <v>8.99</v>
      </c>
      <c r="AC241" s="615">
        <v>8.99</v>
      </c>
      <c r="AD241" s="615">
        <v>8.99</v>
      </c>
      <c r="AE241" s="615">
        <v>8.99</v>
      </c>
      <c r="AF241" s="615">
        <v>8.99</v>
      </c>
      <c r="AG241" s="615">
        <v>8.99</v>
      </c>
      <c r="AH241" s="615">
        <v>8.99</v>
      </c>
      <c r="AI241" s="615">
        <v>8.99</v>
      </c>
      <c r="AJ241" s="615">
        <v>8.99</v>
      </c>
      <c r="AK241" s="615">
        <v>8.99</v>
      </c>
      <c r="AL241" s="615">
        <v>8.99</v>
      </c>
      <c r="AM241" s="615">
        <v>8.99</v>
      </c>
      <c r="AN241" s="615">
        <v>8.99</v>
      </c>
      <c r="AO241" s="615">
        <v>8.99</v>
      </c>
      <c r="AP241" s="615">
        <v>8.99</v>
      </c>
      <c r="AQ241" s="615">
        <v>8.99</v>
      </c>
      <c r="AR241" s="615">
        <v>8.99</v>
      </c>
      <c r="AS241" s="615">
        <v>8.99</v>
      </c>
      <c r="AT241" s="615">
        <v>8.99</v>
      </c>
      <c r="AU241" s="615">
        <v>8.99</v>
      </c>
      <c r="AV241" s="615">
        <v>8.99</v>
      </c>
      <c r="AW241" s="615">
        <v>8.99</v>
      </c>
      <c r="AX241" s="615">
        <v>8.99</v>
      </c>
      <c r="AY241" s="615">
        <v>8.99</v>
      </c>
      <c r="AZ241" s="615">
        <v>8.99</v>
      </c>
      <c r="BA241" s="615">
        <v>8.99</v>
      </c>
      <c r="BB241" s="615">
        <v>8.99</v>
      </c>
      <c r="BC241" s="615">
        <v>8.99</v>
      </c>
      <c r="BD241" s="615">
        <v>8.99</v>
      </c>
      <c r="BE241" s="615">
        <v>8.99</v>
      </c>
      <c r="BF241" s="615">
        <v>8.99</v>
      </c>
      <c r="BG241" s="615">
        <v>8.99</v>
      </c>
      <c r="BH241" s="615">
        <v>8.99</v>
      </c>
      <c r="BI241" s="615">
        <v>8.99</v>
      </c>
      <c r="BJ241" s="615">
        <v>8.99</v>
      </c>
      <c r="BK241" s="615">
        <v>8.99</v>
      </c>
      <c r="BL241" s="615">
        <v>8.99</v>
      </c>
      <c r="BM241" s="615">
        <v>8.99</v>
      </c>
      <c r="BN241" s="615">
        <v>8.99</v>
      </c>
      <c r="BO241" s="615">
        <v>8.99</v>
      </c>
      <c r="BP241" s="615">
        <v>8.99</v>
      </c>
      <c r="BQ241" s="615">
        <v>8.99</v>
      </c>
      <c r="BR241" s="615">
        <v>8.99</v>
      </c>
      <c r="BS241" s="615">
        <v>8.99</v>
      </c>
      <c r="BT241" s="615">
        <v>8.99</v>
      </c>
      <c r="BU241" s="615">
        <v>8.99</v>
      </c>
      <c r="BV241" s="615">
        <v>8.99</v>
      </c>
      <c r="BW241" s="615">
        <v>8.99</v>
      </c>
      <c r="BX241" s="615">
        <v>8.99</v>
      </c>
      <c r="BY241" s="615">
        <v>8.99</v>
      </c>
      <c r="BZ241" s="615">
        <v>8.99</v>
      </c>
      <c r="CA241" s="615">
        <v>8.99</v>
      </c>
      <c r="CB241" s="615">
        <v>8.99</v>
      </c>
      <c r="CC241" s="615">
        <v>8.99</v>
      </c>
      <c r="CD241" s="615">
        <v>8.99</v>
      </c>
      <c r="CE241" s="615">
        <v>8.99</v>
      </c>
      <c r="CF241" s="615">
        <v>8.99</v>
      </c>
      <c r="CG241" s="615">
        <v>8.99</v>
      </c>
      <c r="CH241" s="615">
        <v>8.99</v>
      </c>
      <c r="CI241" s="616">
        <v>8.99</v>
      </c>
      <c r="CJ241" s="1410"/>
      <c r="CK241" s="605"/>
    </row>
    <row r="242" spans="1:89" s="64" customFormat="1" x14ac:dyDescent="0.35">
      <c r="A242" s="58"/>
      <c r="B242" s="909" t="s">
        <v>389</v>
      </c>
      <c r="C242" s="905" t="s">
        <v>390</v>
      </c>
      <c r="D242" s="906" t="s">
        <v>391</v>
      </c>
      <c r="E242" s="907" t="s">
        <v>305</v>
      </c>
      <c r="F242" s="908">
        <v>2</v>
      </c>
      <c r="G242" s="618">
        <f>SUM(G236:G241)</f>
        <v>13.5</v>
      </c>
      <c r="H242" s="618">
        <f t="shared" ref="H242:BS242" si="179">SUM(H236:H241)</f>
        <v>13.5</v>
      </c>
      <c r="I242" s="618">
        <f t="shared" si="179"/>
        <v>13.510000000000002</v>
      </c>
      <c r="J242" s="618">
        <f t="shared" si="179"/>
        <v>13.510000000000002</v>
      </c>
      <c r="K242" s="618">
        <f t="shared" si="179"/>
        <v>13.510000000000002</v>
      </c>
      <c r="L242" s="618">
        <f t="shared" si="179"/>
        <v>13.2</v>
      </c>
      <c r="M242" s="623">
        <f t="shared" si="179"/>
        <v>13.2</v>
      </c>
      <c r="N242" s="623">
        <f t="shared" si="179"/>
        <v>13.2</v>
      </c>
      <c r="O242" s="623">
        <f t="shared" si="179"/>
        <v>13.2</v>
      </c>
      <c r="P242" s="623">
        <f t="shared" si="179"/>
        <v>13.2</v>
      </c>
      <c r="Q242" s="623">
        <f t="shared" si="179"/>
        <v>13.2</v>
      </c>
      <c r="R242" s="623">
        <f t="shared" si="179"/>
        <v>13.2</v>
      </c>
      <c r="S242" s="623">
        <f t="shared" si="179"/>
        <v>13.2</v>
      </c>
      <c r="T242" s="623">
        <f t="shared" si="179"/>
        <v>13.2</v>
      </c>
      <c r="U242" s="623">
        <f t="shared" si="179"/>
        <v>13.2</v>
      </c>
      <c r="V242" s="623">
        <f t="shared" si="179"/>
        <v>13.2</v>
      </c>
      <c r="W242" s="623">
        <f t="shared" si="179"/>
        <v>13.2</v>
      </c>
      <c r="X242" s="623">
        <f t="shared" si="179"/>
        <v>13.2</v>
      </c>
      <c r="Y242" s="623">
        <f t="shared" si="179"/>
        <v>13.2</v>
      </c>
      <c r="Z242" s="623">
        <f t="shared" si="179"/>
        <v>13.2</v>
      </c>
      <c r="AA242" s="623">
        <f t="shared" si="179"/>
        <v>13.2</v>
      </c>
      <c r="AB242" s="623">
        <f t="shared" si="179"/>
        <v>13.2</v>
      </c>
      <c r="AC242" s="623">
        <f t="shared" si="179"/>
        <v>13.2</v>
      </c>
      <c r="AD242" s="623">
        <f t="shared" si="179"/>
        <v>13.2</v>
      </c>
      <c r="AE242" s="623">
        <f t="shared" si="179"/>
        <v>13.2</v>
      </c>
      <c r="AF242" s="623">
        <f t="shared" si="179"/>
        <v>13.2</v>
      </c>
      <c r="AG242" s="623">
        <f t="shared" si="179"/>
        <v>13.2</v>
      </c>
      <c r="AH242" s="623">
        <f t="shared" si="179"/>
        <v>13.2</v>
      </c>
      <c r="AI242" s="623">
        <f t="shared" si="179"/>
        <v>13.2</v>
      </c>
      <c r="AJ242" s="623">
        <f t="shared" si="179"/>
        <v>13.2</v>
      </c>
      <c r="AK242" s="623">
        <f t="shared" si="179"/>
        <v>13.2</v>
      </c>
      <c r="AL242" s="623">
        <f t="shared" si="179"/>
        <v>13.2</v>
      </c>
      <c r="AM242" s="623">
        <f t="shared" si="179"/>
        <v>13.2</v>
      </c>
      <c r="AN242" s="623">
        <f t="shared" si="179"/>
        <v>13.2</v>
      </c>
      <c r="AO242" s="623">
        <f t="shared" si="179"/>
        <v>13.2</v>
      </c>
      <c r="AP242" s="623">
        <f t="shared" si="179"/>
        <v>13.2</v>
      </c>
      <c r="AQ242" s="623">
        <f t="shared" si="179"/>
        <v>13.2</v>
      </c>
      <c r="AR242" s="623">
        <f t="shared" si="179"/>
        <v>13.2</v>
      </c>
      <c r="AS242" s="623">
        <f t="shared" si="179"/>
        <v>13.2</v>
      </c>
      <c r="AT242" s="623">
        <f t="shared" si="179"/>
        <v>13.2</v>
      </c>
      <c r="AU242" s="623">
        <f t="shared" si="179"/>
        <v>13.2</v>
      </c>
      <c r="AV242" s="623">
        <f t="shared" si="179"/>
        <v>13.2</v>
      </c>
      <c r="AW242" s="623">
        <f t="shared" si="179"/>
        <v>13.2</v>
      </c>
      <c r="AX242" s="623">
        <f t="shared" si="179"/>
        <v>13.2</v>
      </c>
      <c r="AY242" s="623">
        <f t="shared" si="179"/>
        <v>13.2</v>
      </c>
      <c r="AZ242" s="623">
        <f t="shared" si="179"/>
        <v>13.2</v>
      </c>
      <c r="BA242" s="623">
        <f t="shared" si="179"/>
        <v>13.2</v>
      </c>
      <c r="BB242" s="623">
        <f t="shared" si="179"/>
        <v>13.2</v>
      </c>
      <c r="BC242" s="623">
        <f t="shared" si="179"/>
        <v>13.2</v>
      </c>
      <c r="BD242" s="623">
        <f t="shared" si="179"/>
        <v>13.2</v>
      </c>
      <c r="BE242" s="623">
        <f t="shared" si="179"/>
        <v>13.2</v>
      </c>
      <c r="BF242" s="623">
        <f t="shared" si="179"/>
        <v>13.2</v>
      </c>
      <c r="BG242" s="623">
        <f t="shared" si="179"/>
        <v>13.2</v>
      </c>
      <c r="BH242" s="623">
        <f t="shared" si="179"/>
        <v>13.2</v>
      </c>
      <c r="BI242" s="623">
        <f t="shared" si="179"/>
        <v>13.2</v>
      </c>
      <c r="BJ242" s="623">
        <f t="shared" si="179"/>
        <v>13.2</v>
      </c>
      <c r="BK242" s="623">
        <f t="shared" si="179"/>
        <v>13.2</v>
      </c>
      <c r="BL242" s="623">
        <f t="shared" si="179"/>
        <v>13.2</v>
      </c>
      <c r="BM242" s="623">
        <f t="shared" si="179"/>
        <v>13.2</v>
      </c>
      <c r="BN242" s="623">
        <f t="shared" si="179"/>
        <v>13.2</v>
      </c>
      <c r="BO242" s="623">
        <f t="shared" si="179"/>
        <v>13.2</v>
      </c>
      <c r="BP242" s="623">
        <f t="shared" si="179"/>
        <v>13.2</v>
      </c>
      <c r="BQ242" s="623">
        <f t="shared" si="179"/>
        <v>13.2</v>
      </c>
      <c r="BR242" s="623">
        <f t="shared" si="179"/>
        <v>13.2</v>
      </c>
      <c r="BS242" s="623">
        <f t="shared" si="179"/>
        <v>13.2</v>
      </c>
      <c r="BT242" s="623">
        <f t="shared" ref="BT242:CI242" si="180">SUM(BT236:BT241)</f>
        <v>13.2</v>
      </c>
      <c r="BU242" s="623">
        <f t="shared" si="180"/>
        <v>13.2</v>
      </c>
      <c r="BV242" s="623">
        <f t="shared" si="180"/>
        <v>13.2</v>
      </c>
      <c r="BW242" s="623">
        <f t="shared" si="180"/>
        <v>13.2</v>
      </c>
      <c r="BX242" s="623">
        <f t="shared" si="180"/>
        <v>13.2</v>
      </c>
      <c r="BY242" s="623">
        <f t="shared" si="180"/>
        <v>13.2</v>
      </c>
      <c r="BZ242" s="623">
        <f t="shared" si="180"/>
        <v>13.2</v>
      </c>
      <c r="CA242" s="623">
        <f t="shared" si="180"/>
        <v>13.2</v>
      </c>
      <c r="CB242" s="623">
        <f t="shared" si="180"/>
        <v>13.2</v>
      </c>
      <c r="CC242" s="623">
        <f t="shared" si="180"/>
        <v>13.2</v>
      </c>
      <c r="CD242" s="623">
        <f t="shared" si="180"/>
        <v>13.2</v>
      </c>
      <c r="CE242" s="623">
        <f t="shared" si="180"/>
        <v>13.2</v>
      </c>
      <c r="CF242" s="623">
        <f t="shared" si="180"/>
        <v>13.2</v>
      </c>
      <c r="CG242" s="623">
        <f t="shared" si="180"/>
        <v>13.2</v>
      </c>
      <c r="CH242" s="623">
        <f t="shared" si="180"/>
        <v>13.2</v>
      </c>
      <c r="CI242" s="619">
        <f t="shared" si="180"/>
        <v>13.2</v>
      </c>
      <c r="CJ242" s="1410"/>
      <c r="CK242" s="605"/>
    </row>
    <row r="243" spans="1:89" s="64" customFormat="1" ht="14.5" thickBot="1" x14ac:dyDescent="0.4">
      <c r="A243" s="58"/>
      <c r="B243" s="936" t="s">
        <v>392</v>
      </c>
      <c r="C243" s="937" t="s">
        <v>393</v>
      </c>
      <c r="D243" s="938" t="s">
        <v>394</v>
      </c>
      <c r="E243" s="939" t="s">
        <v>395</v>
      </c>
      <c r="F243" s="917">
        <v>2</v>
      </c>
      <c r="G243" s="630">
        <f>(G242*1000000)/(G257*1000)</f>
        <v>93.498879890275489</v>
      </c>
      <c r="H243" s="630">
        <f t="shared" ref="H243:BS243" si="181">(H242*1000000)/(H257*1000)</f>
        <v>95.691073103486843</v>
      </c>
      <c r="I243" s="630">
        <f t="shared" si="181"/>
        <v>95.463426293885973</v>
      </c>
      <c r="J243" s="630">
        <f t="shared" si="181"/>
        <v>96.805867077745432</v>
      </c>
      <c r="K243" s="630">
        <f t="shared" si="181"/>
        <v>98.422135703820899</v>
      </c>
      <c r="L243" s="630">
        <f t="shared" si="181"/>
        <v>97.788250001149706</v>
      </c>
      <c r="M243" s="662">
        <f t="shared" si="181"/>
        <v>99.469393564086928</v>
      </c>
      <c r="N243" s="662">
        <f t="shared" si="181"/>
        <v>101.28549702056233</v>
      </c>
      <c r="O243" s="662">
        <f t="shared" si="181"/>
        <v>103.13078136657575</v>
      </c>
      <c r="P243" s="662">
        <f t="shared" si="181"/>
        <v>105.03261277546085</v>
      </c>
      <c r="Q243" s="662">
        <f t="shared" si="181"/>
        <v>107.01835356258884</v>
      </c>
      <c r="R243" s="662">
        <f t="shared" si="181"/>
        <v>109.07342805485273</v>
      </c>
      <c r="S243" s="662">
        <f t="shared" si="181"/>
        <v>111.25033415249396</v>
      </c>
      <c r="T243" s="662">
        <f t="shared" si="181"/>
        <v>113.52381657807791</v>
      </c>
      <c r="U243" s="662">
        <f t="shared" si="181"/>
        <v>115.81991593314939</v>
      </c>
      <c r="V243" s="662">
        <f t="shared" si="181"/>
        <v>118.1510278628421</v>
      </c>
      <c r="W243" s="662">
        <f t="shared" si="181"/>
        <v>120.55854136542291</v>
      </c>
      <c r="X243" s="662">
        <f t="shared" si="181"/>
        <v>123.08770950826408</v>
      </c>
      <c r="Y243" s="662">
        <f t="shared" si="181"/>
        <v>125.63273873596954</v>
      </c>
      <c r="Z243" s="662">
        <f t="shared" si="181"/>
        <v>128.17739960918547</v>
      </c>
      <c r="AA243" s="662">
        <f t="shared" si="181"/>
        <v>130.80444530321836</v>
      </c>
      <c r="AB243" s="662">
        <f t="shared" si="181"/>
        <v>133.48134344686619</v>
      </c>
      <c r="AC243" s="662">
        <f t="shared" si="181"/>
        <v>136.16230735270517</v>
      </c>
      <c r="AD243" s="662">
        <f t="shared" si="181"/>
        <v>138.8787671781329</v>
      </c>
      <c r="AE243" s="662">
        <f t="shared" si="181"/>
        <v>141.59355021555669</v>
      </c>
      <c r="AF243" s="662">
        <f t="shared" si="181"/>
        <v>144.35776739301903</v>
      </c>
      <c r="AG243" s="662">
        <f t="shared" si="181"/>
        <v>147.15983308138183</v>
      </c>
      <c r="AH243" s="662">
        <f t="shared" si="181"/>
        <v>150.01563321437342</v>
      </c>
      <c r="AI243" s="662">
        <f t="shared" si="181"/>
        <v>152.87370712600972</v>
      </c>
      <c r="AJ243" s="662">
        <f t="shared" si="181"/>
        <v>155.77860023654611</v>
      </c>
      <c r="AK243" s="662">
        <f t="shared" si="181"/>
        <v>158.70800787487443</v>
      </c>
      <c r="AL243" s="662">
        <f t="shared" si="181"/>
        <v>161.62650790924479</v>
      </c>
      <c r="AM243" s="662">
        <f t="shared" si="181"/>
        <v>164.54447702377306</v>
      </c>
      <c r="AN243" s="662">
        <f t="shared" si="181"/>
        <v>167.51342579879173</v>
      </c>
      <c r="AO243" s="662">
        <f t="shared" si="181"/>
        <v>170.49231476410239</v>
      </c>
      <c r="AP243" s="662">
        <f t="shared" si="181"/>
        <v>173.53137062532846</v>
      </c>
      <c r="AQ243" s="662">
        <f t="shared" si="181"/>
        <v>176.59694686855198</v>
      </c>
      <c r="AR243" s="662">
        <f t="shared" si="181"/>
        <v>179.70862751350325</v>
      </c>
      <c r="AS243" s="662">
        <f t="shared" si="181"/>
        <v>182.80189362315679</v>
      </c>
      <c r="AT243" s="662">
        <f t="shared" si="181"/>
        <v>185.93761683674518</v>
      </c>
      <c r="AU243" s="662">
        <f t="shared" si="181"/>
        <v>189.07855960657469</v>
      </c>
      <c r="AV243" s="662">
        <f t="shared" si="181"/>
        <v>192.27333199321251</v>
      </c>
      <c r="AW243" s="662">
        <f t="shared" si="181"/>
        <v>195.4596511783235</v>
      </c>
      <c r="AX243" s="662">
        <f t="shared" si="181"/>
        <v>198.70010753931314</v>
      </c>
      <c r="AY243" s="662">
        <f t="shared" si="181"/>
        <v>201.9444658914822</v>
      </c>
      <c r="AZ243" s="662">
        <f t="shared" si="181"/>
        <v>205.25159942343839</v>
      </c>
      <c r="BA243" s="662">
        <f t="shared" si="181"/>
        <v>208.55581594446116</v>
      </c>
      <c r="BB243" s="662">
        <f t="shared" si="181"/>
        <v>211.90509933381909</v>
      </c>
      <c r="BC243" s="662">
        <f t="shared" si="181"/>
        <v>215.2300889555105</v>
      </c>
      <c r="BD243" s="662">
        <f t="shared" si="181"/>
        <v>218.60693951989802</v>
      </c>
      <c r="BE243" s="662">
        <f t="shared" si="181"/>
        <v>221.96395527733824</v>
      </c>
      <c r="BF243" s="662">
        <f t="shared" si="181"/>
        <v>225.33577966937455</v>
      </c>
      <c r="BG243" s="662">
        <f t="shared" si="181"/>
        <v>228.67708490823122</v>
      </c>
      <c r="BH243" s="662">
        <f t="shared" si="181"/>
        <v>232.06880810202253</v>
      </c>
      <c r="BI243" s="662">
        <f t="shared" si="181"/>
        <v>235.42258176994531</v>
      </c>
      <c r="BJ243" s="662">
        <f t="shared" si="181"/>
        <v>238.81524162877039</v>
      </c>
      <c r="BK243" s="662">
        <f t="shared" si="181"/>
        <v>242.17059921860039</v>
      </c>
      <c r="BL243" s="662">
        <f t="shared" si="181"/>
        <v>245.56075295000983</v>
      </c>
      <c r="BM243" s="662">
        <f t="shared" si="181"/>
        <v>248.89947718259978</v>
      </c>
      <c r="BN243" s="662">
        <f t="shared" si="181"/>
        <v>252.29033262721242</v>
      </c>
      <c r="BO243" s="662">
        <f t="shared" si="181"/>
        <v>255.6326704753354</v>
      </c>
      <c r="BP243" s="662">
        <f t="shared" si="181"/>
        <v>259.03883090745546</v>
      </c>
      <c r="BQ243" s="662">
        <f t="shared" si="181"/>
        <v>262.40037511676218</v>
      </c>
      <c r="BR243" s="662">
        <f t="shared" si="181"/>
        <v>265.81797639770372</v>
      </c>
      <c r="BS243" s="662">
        <f t="shared" si="181"/>
        <v>269.17571565654532</v>
      </c>
      <c r="BT243" s="662">
        <f t="shared" ref="BT243:CI243" si="182">(BT242*1000000)/(BT257*1000)</f>
        <v>272.58580396154076</v>
      </c>
      <c r="BU243" s="662">
        <f t="shared" si="182"/>
        <v>275.94102397359018</v>
      </c>
      <c r="BV243" s="662">
        <f t="shared" si="182"/>
        <v>279.35250559351425</v>
      </c>
      <c r="BW243" s="662">
        <f t="shared" si="182"/>
        <v>282.69736941378898</v>
      </c>
      <c r="BX243" s="662">
        <f t="shared" si="182"/>
        <v>286.10027453086929</v>
      </c>
      <c r="BY243" s="662">
        <f t="shared" si="182"/>
        <v>289.44066157634097</v>
      </c>
      <c r="BZ243" s="662">
        <f t="shared" si="182"/>
        <v>292.85192423981465</v>
      </c>
      <c r="CA243" s="662">
        <f t="shared" si="182"/>
        <v>296.1903676973335</v>
      </c>
      <c r="CB243" s="662">
        <f t="shared" si="182"/>
        <v>299.5853755424389</v>
      </c>
      <c r="CC243" s="662">
        <f t="shared" si="182"/>
        <v>302.88716673937444</v>
      </c>
      <c r="CD243" s="662">
        <f t="shared" si="182"/>
        <v>306.24806236807439</v>
      </c>
      <c r="CE243" s="662">
        <f t="shared" si="182"/>
        <v>309.52518429632977</v>
      </c>
      <c r="CF243" s="662">
        <f t="shared" si="182"/>
        <v>312.8562330164674</v>
      </c>
      <c r="CG243" s="662">
        <f t="shared" si="182"/>
        <v>316.07856649108419</v>
      </c>
      <c r="CH243" s="662">
        <f t="shared" si="182"/>
        <v>319.34485593797353</v>
      </c>
      <c r="CI243" s="631">
        <f t="shared" si="182"/>
        <v>322.50549722695649</v>
      </c>
      <c r="CJ243" s="1410"/>
      <c r="CK243" s="605"/>
    </row>
    <row r="244" spans="1:89" s="1621" customFormat="1" x14ac:dyDescent="0.35">
      <c r="A244" s="1618"/>
      <c r="B244" s="918" t="s">
        <v>396</v>
      </c>
      <c r="C244" s="919" t="s">
        <v>397</v>
      </c>
      <c r="D244" s="940" t="s">
        <v>82</v>
      </c>
      <c r="E244" s="941" t="s">
        <v>398</v>
      </c>
      <c r="F244" s="942">
        <v>2</v>
      </c>
      <c r="G244" s="666">
        <v>9.07</v>
      </c>
      <c r="H244" s="666">
        <v>8.1199999999999992</v>
      </c>
      <c r="I244" s="666">
        <v>8.17</v>
      </c>
      <c r="J244" s="666">
        <v>8.1999999999999993</v>
      </c>
      <c r="K244" s="666">
        <v>8.24</v>
      </c>
      <c r="L244" s="666">
        <v>8.27</v>
      </c>
      <c r="M244" s="667">
        <v>8.31</v>
      </c>
      <c r="N244" s="667">
        <v>8.34</v>
      </c>
      <c r="O244" s="667">
        <v>8.3800000000000008</v>
      </c>
      <c r="P244" s="667">
        <v>8.41</v>
      </c>
      <c r="Q244" s="667">
        <v>8.4499999999999993</v>
      </c>
      <c r="R244" s="667">
        <v>8.48</v>
      </c>
      <c r="S244" s="667">
        <v>8.52</v>
      </c>
      <c r="T244" s="667">
        <v>8.5500000000000007</v>
      </c>
      <c r="U244" s="667">
        <v>8.59</v>
      </c>
      <c r="V244" s="667">
        <v>8.6199999999999992</v>
      </c>
      <c r="W244" s="667">
        <v>8.66</v>
      </c>
      <c r="X244" s="667">
        <v>8.69</v>
      </c>
      <c r="Y244" s="667">
        <v>8.73</v>
      </c>
      <c r="Z244" s="667">
        <v>8.76</v>
      </c>
      <c r="AA244" s="667">
        <v>8.8000000000000007</v>
      </c>
      <c r="AB244" s="667">
        <v>8.83</v>
      </c>
      <c r="AC244" s="667">
        <v>8.8699999999999992</v>
      </c>
      <c r="AD244" s="667">
        <v>8.9</v>
      </c>
      <c r="AE244" s="667">
        <v>8.94</v>
      </c>
      <c r="AF244" s="667">
        <v>8.9700000000000006</v>
      </c>
      <c r="AG244" s="667">
        <v>9.01</v>
      </c>
      <c r="AH244" s="667">
        <v>9.0399999999999991</v>
      </c>
      <c r="AI244" s="667">
        <v>9.08</v>
      </c>
      <c r="AJ244" s="667">
        <v>9.11</v>
      </c>
      <c r="AK244" s="667">
        <v>9.15</v>
      </c>
      <c r="AL244" s="667">
        <v>9.18</v>
      </c>
      <c r="AM244" s="667">
        <v>9.2200000000000006</v>
      </c>
      <c r="AN244" s="667">
        <v>9.25</v>
      </c>
      <c r="AO244" s="667">
        <v>9.2899999999999991</v>
      </c>
      <c r="AP244" s="667">
        <v>9.32</v>
      </c>
      <c r="AQ244" s="667">
        <v>9.36</v>
      </c>
      <c r="AR244" s="667">
        <v>9.39</v>
      </c>
      <c r="AS244" s="667">
        <v>9.43</v>
      </c>
      <c r="AT244" s="667">
        <v>9.4600000000000009</v>
      </c>
      <c r="AU244" s="667">
        <v>9.5</v>
      </c>
      <c r="AV244" s="667">
        <v>9.5299999999999994</v>
      </c>
      <c r="AW244" s="667">
        <v>9.57</v>
      </c>
      <c r="AX244" s="667">
        <v>9.6</v>
      </c>
      <c r="AY244" s="667">
        <v>9.64</v>
      </c>
      <c r="AZ244" s="667">
        <v>9.67</v>
      </c>
      <c r="BA244" s="667">
        <v>9.7100000000000009</v>
      </c>
      <c r="BB244" s="667">
        <v>9.74</v>
      </c>
      <c r="BC244" s="667">
        <v>9.7799999999999994</v>
      </c>
      <c r="BD244" s="667">
        <v>9.81</v>
      </c>
      <c r="BE244" s="667">
        <v>9.85</v>
      </c>
      <c r="BF244" s="667">
        <v>9.8800000000000008</v>
      </c>
      <c r="BG244" s="667">
        <v>9.92</v>
      </c>
      <c r="BH244" s="667">
        <v>9.9499999999999993</v>
      </c>
      <c r="BI244" s="667">
        <v>9.99</v>
      </c>
      <c r="BJ244" s="667">
        <v>10.02</v>
      </c>
      <c r="BK244" s="667">
        <v>10.06</v>
      </c>
      <c r="BL244" s="667">
        <v>10.09</v>
      </c>
      <c r="BM244" s="667">
        <v>10.130000000000001</v>
      </c>
      <c r="BN244" s="667">
        <v>10.16</v>
      </c>
      <c r="BO244" s="667">
        <v>10.199999999999999</v>
      </c>
      <c r="BP244" s="667">
        <v>10.23</v>
      </c>
      <c r="BQ244" s="667">
        <v>10.27</v>
      </c>
      <c r="BR244" s="667">
        <v>10.3</v>
      </c>
      <c r="BS244" s="667">
        <v>10.34</v>
      </c>
      <c r="BT244" s="667">
        <v>10.37</v>
      </c>
      <c r="BU244" s="667">
        <v>10.41</v>
      </c>
      <c r="BV244" s="667">
        <v>10.44</v>
      </c>
      <c r="BW244" s="667">
        <v>10.48</v>
      </c>
      <c r="BX244" s="667">
        <v>10.51</v>
      </c>
      <c r="BY244" s="667">
        <v>10.55</v>
      </c>
      <c r="BZ244" s="667">
        <v>10.58</v>
      </c>
      <c r="CA244" s="667">
        <v>10.62</v>
      </c>
      <c r="CB244" s="667">
        <v>10.65</v>
      </c>
      <c r="CC244" s="667">
        <v>10.69</v>
      </c>
      <c r="CD244" s="667">
        <v>10.72</v>
      </c>
      <c r="CE244" s="667">
        <v>10.76</v>
      </c>
      <c r="CF244" s="667">
        <v>10.79</v>
      </c>
      <c r="CG244" s="667">
        <v>10.83</v>
      </c>
      <c r="CH244" s="667">
        <v>10.86</v>
      </c>
      <c r="CI244" s="668">
        <v>10.9</v>
      </c>
      <c r="CJ244" s="1619"/>
      <c r="CK244" s="1620"/>
    </row>
    <row r="245" spans="1:89" s="1621" customFormat="1" x14ac:dyDescent="0.35">
      <c r="A245" s="1618"/>
      <c r="B245" s="922" t="s">
        <v>399</v>
      </c>
      <c r="C245" s="923" t="s">
        <v>400</v>
      </c>
      <c r="D245" s="943" t="s">
        <v>82</v>
      </c>
      <c r="E245" s="929" t="s">
        <v>398</v>
      </c>
      <c r="F245" s="930">
        <v>2</v>
      </c>
      <c r="G245" s="670">
        <v>0.49</v>
      </c>
      <c r="H245" s="670">
        <v>0.48</v>
      </c>
      <c r="I245" s="670">
        <v>0.48</v>
      </c>
      <c r="J245" s="670">
        <v>0.47</v>
      </c>
      <c r="K245" s="670">
        <v>0.46</v>
      </c>
      <c r="L245" s="670">
        <v>0.45</v>
      </c>
      <c r="M245" s="671">
        <v>0.44</v>
      </c>
      <c r="N245" s="671">
        <v>0.43</v>
      </c>
      <c r="O245" s="671">
        <v>0.42</v>
      </c>
      <c r="P245" s="671">
        <v>0.41</v>
      </c>
      <c r="Q245" s="671">
        <v>0.4</v>
      </c>
      <c r="R245" s="671">
        <v>0.39</v>
      </c>
      <c r="S245" s="671">
        <v>0.38</v>
      </c>
      <c r="T245" s="671">
        <v>0.37</v>
      </c>
      <c r="U245" s="671">
        <v>0.36</v>
      </c>
      <c r="V245" s="671">
        <v>0.35</v>
      </c>
      <c r="W245" s="671">
        <v>0.34</v>
      </c>
      <c r="X245" s="671">
        <v>0.33</v>
      </c>
      <c r="Y245" s="671">
        <v>0.32</v>
      </c>
      <c r="Z245" s="671">
        <v>0.31</v>
      </c>
      <c r="AA245" s="671">
        <v>0.3</v>
      </c>
      <c r="AB245" s="671">
        <v>0.28999999999999998</v>
      </c>
      <c r="AC245" s="671">
        <v>0.28000000000000003</v>
      </c>
      <c r="AD245" s="671">
        <v>0.27</v>
      </c>
      <c r="AE245" s="671">
        <v>0.26</v>
      </c>
      <c r="AF245" s="671">
        <v>0.25</v>
      </c>
      <c r="AG245" s="671">
        <v>0.24</v>
      </c>
      <c r="AH245" s="671">
        <v>0.23</v>
      </c>
      <c r="AI245" s="671">
        <v>0.22</v>
      </c>
      <c r="AJ245" s="671">
        <v>0.21</v>
      </c>
      <c r="AK245" s="671">
        <v>0.2</v>
      </c>
      <c r="AL245" s="671">
        <v>0.19</v>
      </c>
      <c r="AM245" s="671">
        <v>0.18</v>
      </c>
      <c r="AN245" s="671">
        <v>0.17</v>
      </c>
      <c r="AO245" s="671">
        <v>0.16</v>
      </c>
      <c r="AP245" s="671">
        <v>0.15</v>
      </c>
      <c r="AQ245" s="671">
        <v>0.14000000000000001</v>
      </c>
      <c r="AR245" s="671">
        <v>0.13</v>
      </c>
      <c r="AS245" s="671">
        <v>0.12</v>
      </c>
      <c r="AT245" s="671">
        <v>0.11</v>
      </c>
      <c r="AU245" s="671">
        <v>0.1</v>
      </c>
      <c r="AV245" s="671">
        <v>0.09</v>
      </c>
      <c r="AW245" s="671">
        <v>0.08</v>
      </c>
      <c r="AX245" s="671">
        <v>7.0000000000000007E-2</v>
      </c>
      <c r="AY245" s="671">
        <v>0.06</v>
      </c>
      <c r="AZ245" s="671">
        <v>0.05</v>
      </c>
      <c r="BA245" s="671">
        <v>0.04</v>
      </c>
      <c r="BB245" s="671">
        <v>0.03</v>
      </c>
      <c r="BC245" s="671">
        <v>0.02</v>
      </c>
      <c r="BD245" s="671">
        <v>0.01</v>
      </c>
      <c r="BE245" s="671">
        <v>0</v>
      </c>
      <c r="BF245" s="671">
        <v>0</v>
      </c>
      <c r="BG245" s="671">
        <v>0</v>
      </c>
      <c r="BH245" s="671">
        <v>0</v>
      </c>
      <c r="BI245" s="671">
        <v>0</v>
      </c>
      <c r="BJ245" s="671">
        <v>0</v>
      </c>
      <c r="BK245" s="671">
        <v>0</v>
      </c>
      <c r="BL245" s="671">
        <v>0</v>
      </c>
      <c r="BM245" s="671">
        <v>0</v>
      </c>
      <c r="BN245" s="671">
        <v>0</v>
      </c>
      <c r="BO245" s="671">
        <v>0</v>
      </c>
      <c r="BP245" s="671">
        <v>0</v>
      </c>
      <c r="BQ245" s="671">
        <v>0</v>
      </c>
      <c r="BR245" s="671">
        <v>0</v>
      </c>
      <c r="BS245" s="671">
        <v>0</v>
      </c>
      <c r="BT245" s="671">
        <v>0</v>
      </c>
      <c r="BU245" s="671">
        <v>0</v>
      </c>
      <c r="BV245" s="671">
        <v>0</v>
      </c>
      <c r="BW245" s="671">
        <v>0</v>
      </c>
      <c r="BX245" s="671">
        <v>0</v>
      </c>
      <c r="BY245" s="671">
        <v>0</v>
      </c>
      <c r="BZ245" s="671">
        <v>0</v>
      </c>
      <c r="CA245" s="671">
        <v>0</v>
      </c>
      <c r="CB245" s="671">
        <v>0</v>
      </c>
      <c r="CC245" s="671">
        <v>0</v>
      </c>
      <c r="CD245" s="671">
        <v>0</v>
      </c>
      <c r="CE245" s="671">
        <v>0</v>
      </c>
      <c r="CF245" s="671">
        <v>0</v>
      </c>
      <c r="CG245" s="671">
        <v>0</v>
      </c>
      <c r="CH245" s="671">
        <v>0</v>
      </c>
      <c r="CI245" s="672">
        <v>0</v>
      </c>
      <c r="CJ245" s="1619"/>
      <c r="CK245" s="1620"/>
    </row>
    <row r="246" spans="1:89" s="1621" customFormat="1" x14ac:dyDescent="0.35">
      <c r="A246" s="1618"/>
      <c r="B246" s="944" t="s">
        <v>401</v>
      </c>
      <c r="C246" s="945" t="s">
        <v>402</v>
      </c>
      <c r="D246" s="943" t="s">
        <v>82</v>
      </c>
      <c r="E246" s="929" t="s">
        <v>398</v>
      </c>
      <c r="F246" s="930">
        <v>2</v>
      </c>
      <c r="G246" s="670">
        <v>0.37</v>
      </c>
      <c r="H246" s="670">
        <v>0.33</v>
      </c>
      <c r="I246" s="670">
        <v>0.31</v>
      </c>
      <c r="J246" s="670">
        <v>0.31</v>
      </c>
      <c r="K246" s="670">
        <v>0.31</v>
      </c>
      <c r="L246" s="670">
        <v>0.31</v>
      </c>
      <c r="M246" s="671">
        <v>0.31</v>
      </c>
      <c r="N246" s="671">
        <v>0.31</v>
      </c>
      <c r="O246" s="671">
        <v>0.31</v>
      </c>
      <c r="P246" s="671">
        <v>0.31</v>
      </c>
      <c r="Q246" s="671">
        <v>0.31</v>
      </c>
      <c r="R246" s="671">
        <v>0.31</v>
      </c>
      <c r="S246" s="671">
        <v>0.31</v>
      </c>
      <c r="T246" s="671">
        <v>0.31</v>
      </c>
      <c r="U246" s="671">
        <v>0.31</v>
      </c>
      <c r="V246" s="671">
        <v>0.31</v>
      </c>
      <c r="W246" s="671">
        <v>0.31</v>
      </c>
      <c r="X246" s="671">
        <v>0.31</v>
      </c>
      <c r="Y246" s="671">
        <v>0.31</v>
      </c>
      <c r="Z246" s="671">
        <v>0.31</v>
      </c>
      <c r="AA246" s="671">
        <v>0.31</v>
      </c>
      <c r="AB246" s="671">
        <v>0.31</v>
      </c>
      <c r="AC246" s="671">
        <v>0.31</v>
      </c>
      <c r="AD246" s="671">
        <v>0.31</v>
      </c>
      <c r="AE246" s="671">
        <v>0.31</v>
      </c>
      <c r="AF246" s="671">
        <v>0.31</v>
      </c>
      <c r="AG246" s="671">
        <v>0.31</v>
      </c>
      <c r="AH246" s="671">
        <v>0.31</v>
      </c>
      <c r="AI246" s="671">
        <v>0.31</v>
      </c>
      <c r="AJ246" s="671">
        <v>0.31</v>
      </c>
      <c r="AK246" s="671">
        <v>0.31</v>
      </c>
      <c r="AL246" s="671">
        <v>0.31</v>
      </c>
      <c r="AM246" s="671">
        <v>0.31</v>
      </c>
      <c r="AN246" s="671">
        <v>0.31</v>
      </c>
      <c r="AO246" s="671">
        <v>0.31</v>
      </c>
      <c r="AP246" s="671">
        <v>0.31</v>
      </c>
      <c r="AQ246" s="671">
        <v>0.31</v>
      </c>
      <c r="AR246" s="671">
        <v>0.31</v>
      </c>
      <c r="AS246" s="671">
        <v>0.31</v>
      </c>
      <c r="AT246" s="671">
        <v>0.31</v>
      </c>
      <c r="AU246" s="671">
        <v>0.31</v>
      </c>
      <c r="AV246" s="671">
        <v>0.31</v>
      </c>
      <c r="AW246" s="671">
        <v>0.31</v>
      </c>
      <c r="AX246" s="671">
        <v>0.31</v>
      </c>
      <c r="AY246" s="671">
        <v>0.31</v>
      </c>
      <c r="AZ246" s="671">
        <v>0.31</v>
      </c>
      <c r="BA246" s="671">
        <v>0.31</v>
      </c>
      <c r="BB246" s="671">
        <v>0.31</v>
      </c>
      <c r="BC246" s="671">
        <v>0.31</v>
      </c>
      <c r="BD246" s="671">
        <v>0.31</v>
      </c>
      <c r="BE246" s="671">
        <v>0.31</v>
      </c>
      <c r="BF246" s="671">
        <v>0.31</v>
      </c>
      <c r="BG246" s="671">
        <v>0.31</v>
      </c>
      <c r="BH246" s="671">
        <v>0.31</v>
      </c>
      <c r="BI246" s="671">
        <v>0.31</v>
      </c>
      <c r="BJ246" s="671">
        <v>0.31</v>
      </c>
      <c r="BK246" s="671">
        <v>0.31</v>
      </c>
      <c r="BL246" s="671">
        <v>0.31</v>
      </c>
      <c r="BM246" s="671">
        <v>0.31</v>
      </c>
      <c r="BN246" s="671">
        <v>0.31</v>
      </c>
      <c r="BO246" s="671">
        <v>0.31</v>
      </c>
      <c r="BP246" s="671">
        <v>0.31</v>
      </c>
      <c r="BQ246" s="671">
        <v>0.31</v>
      </c>
      <c r="BR246" s="671">
        <v>0.31</v>
      </c>
      <c r="BS246" s="671">
        <v>0.31</v>
      </c>
      <c r="BT246" s="671">
        <v>0.31</v>
      </c>
      <c r="BU246" s="671">
        <v>0.31</v>
      </c>
      <c r="BV246" s="671">
        <v>0.31</v>
      </c>
      <c r="BW246" s="671">
        <v>0.31</v>
      </c>
      <c r="BX246" s="671">
        <v>0.31</v>
      </c>
      <c r="BY246" s="671">
        <v>0.31</v>
      </c>
      <c r="BZ246" s="671">
        <v>0.31</v>
      </c>
      <c r="CA246" s="671">
        <v>0.31</v>
      </c>
      <c r="CB246" s="671">
        <v>0.31</v>
      </c>
      <c r="CC246" s="671">
        <v>0.31</v>
      </c>
      <c r="CD246" s="671">
        <v>0.31</v>
      </c>
      <c r="CE246" s="671">
        <v>0.31</v>
      </c>
      <c r="CF246" s="671">
        <v>0.31</v>
      </c>
      <c r="CG246" s="671">
        <v>0.31</v>
      </c>
      <c r="CH246" s="671">
        <v>0.31</v>
      </c>
      <c r="CI246" s="672">
        <v>0.31</v>
      </c>
      <c r="CJ246" s="1619"/>
      <c r="CK246" s="1620"/>
    </row>
    <row r="247" spans="1:89" s="1621" customFormat="1" x14ac:dyDescent="0.35">
      <c r="A247" s="1618"/>
      <c r="B247" s="944" t="s">
        <v>439</v>
      </c>
      <c r="C247" s="945" t="s">
        <v>440</v>
      </c>
      <c r="D247" s="675" t="s">
        <v>82</v>
      </c>
      <c r="E247" s="676" t="s">
        <v>398</v>
      </c>
      <c r="F247" s="677">
        <v>2</v>
      </c>
      <c r="G247" s="670">
        <v>96.723756460000004</v>
      </c>
      <c r="H247" s="670">
        <v>95.109690570000012</v>
      </c>
      <c r="I247" s="670">
        <v>95.680999999999997</v>
      </c>
      <c r="J247" s="670">
        <v>94.439377660000005</v>
      </c>
      <c r="K247" s="670">
        <v>92.843784329999991</v>
      </c>
      <c r="L247" s="670">
        <v>91.256070410000007</v>
      </c>
      <c r="M247" s="623">
        <v>89.64628227</v>
      </c>
      <c r="N247" s="623">
        <v>87.93630847</v>
      </c>
      <c r="O247" s="623">
        <v>86.249672500000003</v>
      </c>
      <c r="P247" s="623">
        <v>84.578246889999988</v>
      </c>
      <c r="Q247" s="623">
        <v>82.874333799999988</v>
      </c>
      <c r="R247" s="623">
        <v>81.181187600000001</v>
      </c>
      <c r="S247" s="623">
        <v>79.42761007</v>
      </c>
      <c r="T247" s="623">
        <v>77.670540590000002</v>
      </c>
      <c r="U247" s="623">
        <v>75.967221289999998</v>
      </c>
      <c r="V247" s="623">
        <v>74.321009849999996</v>
      </c>
      <c r="W247" s="623">
        <v>72.67073259</v>
      </c>
      <c r="X247" s="623">
        <v>70.9977272</v>
      </c>
      <c r="Y247" s="623">
        <v>69.375691570000001</v>
      </c>
      <c r="Z247" s="623">
        <v>67.834490880000004</v>
      </c>
      <c r="AA247" s="623">
        <v>66.285761989999997</v>
      </c>
      <c r="AB247" s="623">
        <v>64.776952260000002</v>
      </c>
      <c r="AC247" s="623">
        <v>63.320781589999996</v>
      </c>
      <c r="AD247" s="623">
        <v>61.91197056</v>
      </c>
      <c r="AE247" s="623">
        <v>60.553965929999997</v>
      </c>
      <c r="AF247" s="623">
        <v>59.230607649999996</v>
      </c>
      <c r="AG247" s="623">
        <v>57.92909375</v>
      </c>
      <c r="AH247" s="623">
        <v>56.659373339999995</v>
      </c>
      <c r="AI247" s="623">
        <v>55.430867810000002</v>
      </c>
      <c r="AJ247" s="623">
        <v>54.236248850000003</v>
      </c>
      <c r="AK247" s="623">
        <v>53.066983970000003</v>
      </c>
      <c r="AL247" s="623">
        <v>51.959438609999999</v>
      </c>
      <c r="AM247" s="623">
        <v>50.885203410000003</v>
      </c>
      <c r="AN247" s="623">
        <v>49.837480020000001</v>
      </c>
      <c r="AO247" s="623">
        <v>48.815038520000002</v>
      </c>
      <c r="AP247" s="623">
        <v>47.814014</v>
      </c>
      <c r="AQ247" s="623">
        <v>46.82918574</v>
      </c>
      <c r="AR247" s="623">
        <v>45.871547020000001</v>
      </c>
      <c r="AS247" s="623">
        <v>44.946438210000004</v>
      </c>
      <c r="AT247" s="623">
        <v>44.047895850000003</v>
      </c>
      <c r="AU247" s="623">
        <v>43.16944719</v>
      </c>
      <c r="AV247" s="623">
        <v>42.312148469999997</v>
      </c>
      <c r="AW247" s="623">
        <v>41.477724869999996</v>
      </c>
      <c r="AX247" s="623">
        <v>40.663332260000004</v>
      </c>
      <c r="AY247" s="623">
        <v>39.865447119999999</v>
      </c>
      <c r="AZ247" s="623">
        <v>39.084248649999999</v>
      </c>
      <c r="BA247" s="623">
        <v>38.320130499999998</v>
      </c>
      <c r="BB247" s="623">
        <v>37.57751554</v>
      </c>
      <c r="BC247" s="623">
        <v>36.856098510000002</v>
      </c>
      <c r="BD247" s="623">
        <v>36.152948340000002</v>
      </c>
      <c r="BE247" s="623">
        <v>35.467414329999997</v>
      </c>
      <c r="BF247" s="623">
        <v>34.798882849999998</v>
      </c>
      <c r="BG247" s="623">
        <v>34.148089970000001</v>
      </c>
      <c r="BH247" s="623">
        <v>33.51353993</v>
      </c>
      <c r="BI247" s="623">
        <v>32.896430869999996</v>
      </c>
      <c r="BJ247" s="623">
        <v>32.29732783</v>
      </c>
      <c r="BK247" s="623">
        <v>31.713321130000001</v>
      </c>
      <c r="BL247" s="623">
        <v>31.147153630000002</v>
      </c>
      <c r="BM247" s="623">
        <v>30.597097989999998</v>
      </c>
      <c r="BN247" s="623">
        <v>30.06011015</v>
      </c>
      <c r="BO247" s="623">
        <v>29.536747940000001</v>
      </c>
      <c r="BP247" s="623">
        <v>29.023531630000001</v>
      </c>
      <c r="BQ247" s="623">
        <v>28.521660430000001</v>
      </c>
      <c r="BR247" s="623">
        <v>28.031117149999996</v>
      </c>
      <c r="BS247" s="623">
        <v>27.553301139999999</v>
      </c>
      <c r="BT247" s="623">
        <v>27.086964820000002</v>
      </c>
      <c r="BU247" s="623">
        <v>26.63092653</v>
      </c>
      <c r="BV247" s="623">
        <v>26.185252850000001</v>
      </c>
      <c r="BW247" s="623">
        <v>25.750517290000001</v>
      </c>
      <c r="BX247" s="623">
        <v>25.325439360000001</v>
      </c>
      <c r="BY247" s="623">
        <v>24.909310010000002</v>
      </c>
      <c r="BZ247" s="623">
        <v>24.50056107</v>
      </c>
      <c r="CA247" s="623">
        <v>24.101236540000002</v>
      </c>
      <c r="CB247" s="623">
        <v>23.711246110000001</v>
      </c>
      <c r="CC247" s="623">
        <v>23.33240262</v>
      </c>
      <c r="CD247" s="623">
        <v>22.96210662</v>
      </c>
      <c r="CE247" s="623">
        <v>22.600328219999998</v>
      </c>
      <c r="CF247" s="623">
        <v>22.24751697</v>
      </c>
      <c r="CG247" s="623">
        <v>21.90539278</v>
      </c>
      <c r="CH247" s="623">
        <v>21.5731009</v>
      </c>
      <c r="CI247" s="619">
        <v>21.249780640000001</v>
      </c>
      <c r="CJ247" s="1619"/>
      <c r="CK247" s="1620"/>
    </row>
    <row r="248" spans="1:89" s="1621" customFormat="1" x14ac:dyDescent="0.35">
      <c r="A248" s="1618"/>
      <c r="B248" s="944" t="s">
        <v>406</v>
      </c>
      <c r="C248" s="945" t="s">
        <v>407</v>
      </c>
      <c r="D248" s="675" t="s">
        <v>408</v>
      </c>
      <c r="E248" s="676" t="s">
        <v>398</v>
      </c>
      <c r="F248" s="677">
        <v>2</v>
      </c>
      <c r="G248" s="670"/>
      <c r="H248" s="670"/>
      <c r="I248" s="670"/>
      <c r="J248" s="670">
        <v>3.1014080630000009</v>
      </c>
      <c r="K248" s="670">
        <v>2.7805890369999995</v>
      </c>
      <c r="L248" s="670">
        <v>2.8148553790000008</v>
      </c>
      <c r="M248" s="671">
        <v>3.0068233139999982</v>
      </c>
      <c r="N248" s="671">
        <v>2.4667621400000019</v>
      </c>
      <c r="O248" s="671">
        <v>2.9350135399999964</v>
      </c>
      <c r="P248" s="671">
        <v>2.8417823999999996</v>
      </c>
      <c r="Q248" s="671">
        <v>2.5688654600000014</v>
      </c>
      <c r="R248" s="671">
        <v>2.5009376300000028</v>
      </c>
      <c r="S248" s="671">
        <v>2.1702466200000003</v>
      </c>
      <c r="T248" s="671">
        <v>1.8476754199999981</v>
      </c>
      <c r="U248" s="671">
        <v>1.8398271700000031</v>
      </c>
      <c r="V248" s="671">
        <v>1.8440996299999988</v>
      </c>
      <c r="W248" s="671">
        <v>1.7145616899999965</v>
      </c>
      <c r="X248" s="671">
        <v>1.677992230000001</v>
      </c>
      <c r="Y248" s="671">
        <v>1.5803659700000026</v>
      </c>
      <c r="Z248" s="671">
        <v>1.5810663599999941</v>
      </c>
      <c r="AA248" s="671">
        <v>1.5837961800000073</v>
      </c>
      <c r="AB248" s="671">
        <v>1.6048615899999987</v>
      </c>
      <c r="AC248" s="671">
        <v>1.5556258800000009</v>
      </c>
      <c r="AD248" s="671">
        <v>1.5072606199999967</v>
      </c>
      <c r="AE248" s="671">
        <v>1.4618129599999961</v>
      </c>
      <c r="AF248" s="671">
        <v>1.4121366500000008</v>
      </c>
      <c r="AG248" s="671">
        <v>1.3664044300000029</v>
      </c>
      <c r="AH248" s="671">
        <v>1.3154111799999981</v>
      </c>
      <c r="AI248" s="671">
        <v>1.2683669100000046</v>
      </c>
      <c r="AJ248" s="671">
        <v>1.2191283599999991</v>
      </c>
      <c r="AK248" s="671">
        <v>1.169742620000001</v>
      </c>
      <c r="AL248" s="671">
        <v>0.58541251999999844</v>
      </c>
      <c r="AM248" s="671">
        <v>0.55427120999999602</v>
      </c>
      <c r="AN248" s="671">
        <v>0.5467382900000004</v>
      </c>
      <c r="AO248" s="671">
        <v>0.53299341000000311</v>
      </c>
      <c r="AP248" s="671">
        <v>0.54191971000000194</v>
      </c>
      <c r="AQ248" s="671">
        <v>0.5591364499999969</v>
      </c>
      <c r="AR248" s="671">
        <v>0.54640434000000226</v>
      </c>
      <c r="AS248" s="671">
        <v>0.49636224999999712</v>
      </c>
      <c r="AT248" s="671">
        <v>0.46379312000000539</v>
      </c>
      <c r="AU248" s="671">
        <v>0.46432299999999316</v>
      </c>
      <c r="AV248" s="671">
        <v>0.45135539000000335</v>
      </c>
      <c r="AW248" s="671">
        <v>0.43627099000000413</v>
      </c>
      <c r="AX248" s="671">
        <v>0.43986660999999572</v>
      </c>
      <c r="AY248" s="671">
        <v>0.45180075999999758</v>
      </c>
      <c r="AZ248" s="671">
        <v>0.46897824000000554</v>
      </c>
      <c r="BA248" s="671">
        <v>0.4851596700000016</v>
      </c>
      <c r="BB248" s="671">
        <v>0.48467875000000049</v>
      </c>
      <c r="BC248" s="671">
        <v>0.47687892000000431</v>
      </c>
      <c r="BD248" s="671">
        <v>0.4857934399999948</v>
      </c>
      <c r="BE248" s="671">
        <v>0.49263732000000005</v>
      </c>
      <c r="BF248" s="671">
        <v>0.50159499999999468</v>
      </c>
      <c r="BG248" s="671">
        <v>0.51372343999999259</v>
      </c>
      <c r="BH248" s="671">
        <v>0.52798434000001748</v>
      </c>
      <c r="BI248" s="671">
        <v>0.53702838999998903</v>
      </c>
      <c r="BJ248" s="671">
        <v>0.53662792000000081</v>
      </c>
      <c r="BK248" s="671">
        <v>0.54780737999999474</v>
      </c>
      <c r="BL248" s="671">
        <v>0.54531468999999788</v>
      </c>
      <c r="BM248" s="671">
        <v>0.55125275000000329</v>
      </c>
      <c r="BN248" s="671">
        <v>0.57304451000000256</v>
      </c>
      <c r="BO248" s="671">
        <v>0.58855366999999603</v>
      </c>
      <c r="BP248" s="671">
        <v>0.62314611000000752</v>
      </c>
      <c r="BQ248" s="671">
        <v>0.64830288999999652</v>
      </c>
      <c r="BR248" s="671">
        <v>0.67246751999999788</v>
      </c>
      <c r="BS248" s="671">
        <v>0.67972351000000231</v>
      </c>
      <c r="BT248" s="671">
        <v>0.69442989000000921</v>
      </c>
      <c r="BU248" s="671">
        <v>0.71236294999998506</v>
      </c>
      <c r="BV248" s="671">
        <v>0.73140689000000236</v>
      </c>
      <c r="BW248" s="671">
        <v>0.73665895000000603</v>
      </c>
      <c r="BX248" s="671">
        <v>0.75151448000001153</v>
      </c>
      <c r="BY248" s="671">
        <v>0.7685417399999892</v>
      </c>
      <c r="BZ248" s="671">
        <v>0.79522249999999417</v>
      </c>
      <c r="CA248" s="671">
        <v>0.80487492000000316</v>
      </c>
      <c r="CB248" s="671">
        <v>0.81455087999999876</v>
      </c>
      <c r="CC248" s="671">
        <v>0.80497871000000032</v>
      </c>
      <c r="CD248" s="671">
        <v>0.81466644000001054</v>
      </c>
      <c r="CE248" s="671">
        <v>0.81794206999998664</v>
      </c>
      <c r="CF248" s="671">
        <v>0.81692920000000413</v>
      </c>
      <c r="CG248" s="671">
        <v>0.79979182000001003</v>
      </c>
      <c r="CH248" s="671">
        <v>0.78798218999999392</v>
      </c>
      <c r="CI248" s="672">
        <v>0.77721375999999509</v>
      </c>
      <c r="CJ248" s="1619"/>
      <c r="CK248" s="1620"/>
    </row>
    <row r="249" spans="1:89" s="1621" customFormat="1" x14ac:dyDescent="0.35">
      <c r="A249" s="1618"/>
      <c r="B249" s="944" t="s">
        <v>409</v>
      </c>
      <c r="C249" s="945" t="s">
        <v>410</v>
      </c>
      <c r="D249" s="675" t="s">
        <v>411</v>
      </c>
      <c r="E249" s="676" t="s">
        <v>398</v>
      </c>
      <c r="F249" s="677">
        <v>2</v>
      </c>
      <c r="G249" s="670"/>
      <c r="H249" s="670"/>
      <c r="I249" s="670"/>
      <c r="J249" s="670">
        <v>0.74088723700000259</v>
      </c>
      <c r="K249" s="670">
        <v>0.72619466300000024</v>
      </c>
      <c r="L249" s="670">
        <v>0.71261242099999578</v>
      </c>
      <c r="M249" s="671">
        <v>0.70161788599999753</v>
      </c>
      <c r="N249" s="671">
        <v>0.68948285999999648</v>
      </c>
      <c r="O249" s="671">
        <v>0.67521956000001992</v>
      </c>
      <c r="P249" s="671">
        <v>0.66614769999999623</v>
      </c>
      <c r="Q249" s="671">
        <v>0.65800903999997828</v>
      </c>
      <c r="R249" s="671">
        <v>0.65079037000001705</v>
      </c>
      <c r="S249" s="671">
        <v>0.64448598000001311</v>
      </c>
      <c r="T249" s="671">
        <v>0.63909898000000354</v>
      </c>
      <c r="U249" s="671">
        <v>0.63180512999997873</v>
      </c>
      <c r="V249" s="671">
        <v>0.62240987000000203</v>
      </c>
      <c r="W249" s="671">
        <v>0.61076180999999963</v>
      </c>
      <c r="X249" s="671">
        <v>0.59676887000000534</v>
      </c>
      <c r="Y249" s="671">
        <v>0.58041142999996964</v>
      </c>
      <c r="Z249" s="671">
        <v>0.56468044000004625</v>
      </c>
      <c r="AA249" s="671">
        <v>0.54954281999997079</v>
      </c>
      <c r="AB249" s="671">
        <v>0.5349675099999871</v>
      </c>
      <c r="AC249" s="671">
        <v>0.52092562000002118</v>
      </c>
      <c r="AD249" s="671">
        <v>0.5073903799999897</v>
      </c>
      <c r="AE249" s="671">
        <v>0.49433674000002981</v>
      </c>
      <c r="AF249" s="671">
        <v>0.48174135000000007</v>
      </c>
      <c r="AG249" s="671">
        <v>0.46958246999999176</v>
      </c>
      <c r="AH249" s="671">
        <v>0.4578394199999849</v>
      </c>
      <c r="AI249" s="671">
        <v>0.44654048999998253</v>
      </c>
      <c r="AJ249" s="671">
        <v>0.43552054000001306</v>
      </c>
      <c r="AK249" s="671">
        <v>0.42477238000000028</v>
      </c>
      <c r="AL249" s="671">
        <v>0.41428958000000904</v>
      </c>
      <c r="AM249" s="671">
        <v>0.40406548999999359</v>
      </c>
      <c r="AN249" s="671">
        <v>0.39409361000000587</v>
      </c>
      <c r="AO249" s="671">
        <v>0.38436789000000715</v>
      </c>
      <c r="AP249" s="671">
        <v>0.37488218999996548</v>
      </c>
      <c r="AQ249" s="671">
        <v>0.3656305500000343</v>
      </c>
      <c r="AR249" s="671">
        <v>0.35660726000001119</v>
      </c>
      <c r="AS249" s="671">
        <v>0.34780674999999661</v>
      </c>
      <c r="AT249" s="671">
        <v>0.3392231799999621</v>
      </c>
      <c r="AU249" s="671">
        <v>0.33085170000002506</v>
      </c>
      <c r="AV249" s="671">
        <v>0.3226866100000052</v>
      </c>
      <c r="AW249" s="671">
        <v>0.3147232099999755</v>
      </c>
      <c r="AX249" s="671">
        <v>0.30695618999999397</v>
      </c>
      <c r="AY249" s="671">
        <v>0.29938084000002618</v>
      </c>
      <c r="AZ249" s="671">
        <v>0.29199256000001839</v>
      </c>
      <c r="BA249" s="671">
        <v>0.28478662999995663</v>
      </c>
      <c r="BB249" s="671">
        <v>0.27775835000002758</v>
      </c>
      <c r="BC249" s="671">
        <v>0.27090367999998932</v>
      </c>
      <c r="BD249" s="671">
        <v>0.26421815999999865</v>
      </c>
      <c r="BE249" s="671">
        <v>0.25769747999999026</v>
      </c>
      <c r="BF249" s="671">
        <v>0.25133800000001827</v>
      </c>
      <c r="BG249" s="671">
        <v>0.24513516000000379</v>
      </c>
      <c r="BH249" s="671">
        <v>0.23908555999997816</v>
      </c>
      <c r="BI249" s="671">
        <v>0.23318531000003873</v>
      </c>
      <c r="BJ249" s="671">
        <v>0.22743047999998112</v>
      </c>
      <c r="BK249" s="671">
        <v>0.22181792000000655</v>
      </c>
      <c r="BL249" s="671">
        <v>0.21634360999999558</v>
      </c>
      <c r="BM249" s="671">
        <v>0.21100464999997826</v>
      </c>
      <c r="BN249" s="671">
        <v>0.20579719000001262</v>
      </c>
      <c r="BO249" s="671">
        <v>0.20071853000003159</v>
      </c>
      <c r="BP249" s="671">
        <v>0.19576488999997821</v>
      </c>
      <c r="BQ249" s="671">
        <v>0.19093380999998999</v>
      </c>
      <c r="BR249" s="671">
        <v>0.18622168000001693</v>
      </c>
      <c r="BS249" s="671">
        <v>0.18162608999998042</v>
      </c>
      <c r="BT249" s="671">
        <v>0.17714370999999574</v>
      </c>
      <c r="BU249" s="671">
        <v>0.17277205000003448</v>
      </c>
      <c r="BV249" s="671">
        <v>0.16850820999998462</v>
      </c>
      <c r="BW249" s="671">
        <v>0.16434974999999952</v>
      </c>
      <c r="BX249" s="671">
        <v>0.16029371999998432</v>
      </c>
      <c r="BY249" s="671">
        <v>0.15633796000000189</v>
      </c>
      <c r="BZ249" s="671">
        <v>0.15247960000002081</v>
      </c>
      <c r="CA249" s="671">
        <v>0.1487166799999784</v>
      </c>
      <c r="CB249" s="671">
        <v>0.14504662000000224</v>
      </c>
      <c r="CC249" s="671">
        <v>0.14146699000002627</v>
      </c>
      <c r="CD249" s="671">
        <v>0.13797575999997491</v>
      </c>
      <c r="CE249" s="671">
        <v>0.13457063000001313</v>
      </c>
      <c r="CF249" s="671">
        <v>0.1312496999999837</v>
      </c>
      <c r="CG249" s="671">
        <v>0.12801057999998022</v>
      </c>
      <c r="CH249" s="671">
        <v>0.12485141000003352</v>
      </c>
      <c r="CI249" s="672">
        <v>0.12177034000001186</v>
      </c>
      <c r="CJ249" s="1619"/>
      <c r="CK249" s="1620"/>
    </row>
    <row r="250" spans="1:89" s="1621" customFormat="1" x14ac:dyDescent="0.35">
      <c r="A250" s="1618"/>
      <c r="B250" s="944" t="s">
        <v>412</v>
      </c>
      <c r="C250" s="945" t="s">
        <v>413</v>
      </c>
      <c r="D250" s="675" t="s">
        <v>414</v>
      </c>
      <c r="E250" s="676" t="s">
        <v>398</v>
      </c>
      <c r="F250" s="677">
        <v>2</v>
      </c>
      <c r="G250" s="670">
        <v>0</v>
      </c>
      <c r="H250" s="670">
        <v>0</v>
      </c>
      <c r="I250" s="670">
        <v>0</v>
      </c>
      <c r="J250" s="670">
        <v>0</v>
      </c>
      <c r="K250" s="670">
        <v>0</v>
      </c>
      <c r="L250" s="670">
        <v>0</v>
      </c>
      <c r="M250" s="671">
        <v>0</v>
      </c>
      <c r="N250" s="671">
        <v>0</v>
      </c>
      <c r="O250" s="671">
        <v>0</v>
      </c>
      <c r="P250" s="671">
        <v>0</v>
      </c>
      <c r="Q250" s="671">
        <v>0</v>
      </c>
      <c r="R250" s="671">
        <v>0</v>
      </c>
      <c r="S250" s="671">
        <v>0</v>
      </c>
      <c r="T250" s="671">
        <v>0</v>
      </c>
      <c r="U250" s="671">
        <v>0</v>
      </c>
      <c r="V250" s="671">
        <v>0</v>
      </c>
      <c r="W250" s="671">
        <v>0</v>
      </c>
      <c r="X250" s="671">
        <v>0</v>
      </c>
      <c r="Y250" s="671">
        <v>0</v>
      </c>
      <c r="Z250" s="671">
        <v>0</v>
      </c>
      <c r="AA250" s="671">
        <v>0</v>
      </c>
      <c r="AB250" s="671">
        <v>0</v>
      </c>
      <c r="AC250" s="671">
        <v>0</v>
      </c>
      <c r="AD250" s="671">
        <v>0</v>
      </c>
      <c r="AE250" s="671">
        <v>0</v>
      </c>
      <c r="AF250" s="671">
        <v>0</v>
      </c>
      <c r="AG250" s="671">
        <v>0</v>
      </c>
      <c r="AH250" s="671">
        <v>0</v>
      </c>
      <c r="AI250" s="671">
        <v>0</v>
      </c>
      <c r="AJ250" s="671">
        <v>0</v>
      </c>
      <c r="AK250" s="671">
        <v>0</v>
      </c>
      <c r="AL250" s="671">
        <v>0</v>
      </c>
      <c r="AM250" s="671">
        <v>0</v>
      </c>
      <c r="AN250" s="671">
        <v>0</v>
      </c>
      <c r="AO250" s="671">
        <v>0</v>
      </c>
      <c r="AP250" s="671">
        <v>0</v>
      </c>
      <c r="AQ250" s="671">
        <v>0</v>
      </c>
      <c r="AR250" s="671">
        <v>0</v>
      </c>
      <c r="AS250" s="671">
        <v>0</v>
      </c>
      <c r="AT250" s="671">
        <v>0</v>
      </c>
      <c r="AU250" s="671">
        <v>0</v>
      </c>
      <c r="AV250" s="671">
        <v>0</v>
      </c>
      <c r="AW250" s="671">
        <v>0</v>
      </c>
      <c r="AX250" s="671">
        <v>0</v>
      </c>
      <c r="AY250" s="671">
        <v>0</v>
      </c>
      <c r="AZ250" s="671">
        <v>0</v>
      </c>
      <c r="BA250" s="671">
        <v>0</v>
      </c>
      <c r="BB250" s="671">
        <v>0</v>
      </c>
      <c r="BC250" s="671">
        <v>0</v>
      </c>
      <c r="BD250" s="671">
        <v>0</v>
      </c>
      <c r="BE250" s="671">
        <v>0</v>
      </c>
      <c r="BF250" s="671">
        <v>0</v>
      </c>
      <c r="BG250" s="671">
        <v>0</v>
      </c>
      <c r="BH250" s="671">
        <v>0</v>
      </c>
      <c r="BI250" s="671">
        <v>0</v>
      </c>
      <c r="BJ250" s="671">
        <v>0</v>
      </c>
      <c r="BK250" s="671">
        <v>0</v>
      </c>
      <c r="BL250" s="671">
        <v>0</v>
      </c>
      <c r="BM250" s="671">
        <v>0</v>
      </c>
      <c r="BN250" s="671">
        <v>0</v>
      </c>
      <c r="BO250" s="671">
        <v>0</v>
      </c>
      <c r="BP250" s="671">
        <v>0</v>
      </c>
      <c r="BQ250" s="671">
        <v>0</v>
      </c>
      <c r="BR250" s="671">
        <v>0</v>
      </c>
      <c r="BS250" s="671">
        <v>0</v>
      </c>
      <c r="BT250" s="671">
        <v>0</v>
      </c>
      <c r="BU250" s="671">
        <v>0</v>
      </c>
      <c r="BV250" s="671">
        <v>0</v>
      </c>
      <c r="BW250" s="671">
        <v>0</v>
      </c>
      <c r="BX250" s="671">
        <v>0</v>
      </c>
      <c r="BY250" s="671">
        <v>0</v>
      </c>
      <c r="BZ250" s="671">
        <v>0</v>
      </c>
      <c r="CA250" s="671">
        <v>0</v>
      </c>
      <c r="CB250" s="671">
        <v>0</v>
      </c>
      <c r="CC250" s="671">
        <v>0</v>
      </c>
      <c r="CD250" s="671">
        <v>0</v>
      </c>
      <c r="CE250" s="671">
        <v>0</v>
      </c>
      <c r="CF250" s="671">
        <v>0</v>
      </c>
      <c r="CG250" s="671">
        <v>0</v>
      </c>
      <c r="CH250" s="671">
        <v>0</v>
      </c>
      <c r="CI250" s="672">
        <v>0</v>
      </c>
      <c r="CJ250" s="1619"/>
      <c r="CK250" s="1620"/>
    </row>
    <row r="251" spans="1:89" s="1621" customFormat="1" ht="28" x14ac:dyDescent="0.35">
      <c r="A251" s="1618"/>
      <c r="B251" s="944" t="s">
        <v>415</v>
      </c>
      <c r="C251" s="945" t="s">
        <v>416</v>
      </c>
      <c r="D251" s="675" t="s">
        <v>417</v>
      </c>
      <c r="E251" s="676" t="s">
        <v>398</v>
      </c>
      <c r="F251" s="677">
        <v>2</v>
      </c>
      <c r="G251" s="670">
        <v>0</v>
      </c>
      <c r="H251" s="670">
        <v>0</v>
      </c>
      <c r="I251" s="670">
        <v>0</v>
      </c>
      <c r="J251" s="670">
        <v>0</v>
      </c>
      <c r="K251" s="670">
        <v>0</v>
      </c>
      <c r="L251" s="670">
        <v>0</v>
      </c>
      <c r="M251" s="671">
        <v>0</v>
      </c>
      <c r="N251" s="671">
        <v>0</v>
      </c>
      <c r="O251" s="671">
        <v>0</v>
      </c>
      <c r="P251" s="671">
        <v>0</v>
      </c>
      <c r="Q251" s="671">
        <v>0</v>
      </c>
      <c r="R251" s="671">
        <v>0</v>
      </c>
      <c r="S251" s="671">
        <v>0</v>
      </c>
      <c r="T251" s="671">
        <v>0</v>
      </c>
      <c r="U251" s="671">
        <v>0</v>
      </c>
      <c r="V251" s="671">
        <v>0</v>
      </c>
      <c r="W251" s="671">
        <v>0</v>
      </c>
      <c r="X251" s="671">
        <v>0</v>
      </c>
      <c r="Y251" s="671">
        <v>0</v>
      </c>
      <c r="Z251" s="671">
        <v>0</v>
      </c>
      <c r="AA251" s="671">
        <v>0</v>
      </c>
      <c r="AB251" s="671">
        <v>0</v>
      </c>
      <c r="AC251" s="671">
        <v>0</v>
      </c>
      <c r="AD251" s="671">
        <v>0</v>
      </c>
      <c r="AE251" s="671">
        <v>0</v>
      </c>
      <c r="AF251" s="671">
        <v>0</v>
      </c>
      <c r="AG251" s="671">
        <v>0</v>
      </c>
      <c r="AH251" s="671">
        <v>0</v>
      </c>
      <c r="AI251" s="671">
        <v>0</v>
      </c>
      <c r="AJ251" s="671">
        <v>0</v>
      </c>
      <c r="AK251" s="671">
        <v>0</v>
      </c>
      <c r="AL251" s="671">
        <v>0</v>
      </c>
      <c r="AM251" s="671">
        <v>0</v>
      </c>
      <c r="AN251" s="671">
        <v>0</v>
      </c>
      <c r="AO251" s="671">
        <v>0</v>
      </c>
      <c r="AP251" s="671">
        <v>0</v>
      </c>
      <c r="AQ251" s="671">
        <v>0</v>
      </c>
      <c r="AR251" s="671">
        <v>0</v>
      </c>
      <c r="AS251" s="671">
        <v>0</v>
      </c>
      <c r="AT251" s="671">
        <v>0</v>
      </c>
      <c r="AU251" s="671">
        <v>0</v>
      </c>
      <c r="AV251" s="671">
        <v>0</v>
      </c>
      <c r="AW251" s="671">
        <v>0</v>
      </c>
      <c r="AX251" s="671">
        <v>0</v>
      </c>
      <c r="AY251" s="671">
        <v>0</v>
      </c>
      <c r="AZ251" s="671">
        <v>0</v>
      </c>
      <c r="BA251" s="671">
        <v>0</v>
      </c>
      <c r="BB251" s="671">
        <v>0</v>
      </c>
      <c r="BC251" s="671">
        <v>0</v>
      </c>
      <c r="BD251" s="671">
        <v>0</v>
      </c>
      <c r="BE251" s="671">
        <v>0</v>
      </c>
      <c r="BF251" s="671">
        <v>0</v>
      </c>
      <c r="BG251" s="671">
        <v>0</v>
      </c>
      <c r="BH251" s="671">
        <v>0</v>
      </c>
      <c r="BI251" s="671">
        <v>0</v>
      </c>
      <c r="BJ251" s="671">
        <v>0</v>
      </c>
      <c r="BK251" s="671">
        <v>0</v>
      </c>
      <c r="BL251" s="671">
        <v>0</v>
      </c>
      <c r="BM251" s="671">
        <v>0</v>
      </c>
      <c r="BN251" s="671">
        <v>0</v>
      </c>
      <c r="BO251" s="671">
        <v>0</v>
      </c>
      <c r="BP251" s="671">
        <v>0</v>
      </c>
      <c r="BQ251" s="671">
        <v>0</v>
      </c>
      <c r="BR251" s="671">
        <v>0</v>
      </c>
      <c r="BS251" s="671">
        <v>0</v>
      </c>
      <c r="BT251" s="671">
        <v>0</v>
      </c>
      <c r="BU251" s="671">
        <v>0</v>
      </c>
      <c r="BV251" s="671">
        <v>0</v>
      </c>
      <c r="BW251" s="671">
        <v>0</v>
      </c>
      <c r="BX251" s="671">
        <v>0</v>
      </c>
      <c r="BY251" s="671">
        <v>0</v>
      </c>
      <c r="BZ251" s="671">
        <v>0</v>
      </c>
      <c r="CA251" s="671">
        <v>0</v>
      </c>
      <c r="CB251" s="671">
        <v>0</v>
      </c>
      <c r="CC251" s="671">
        <v>0</v>
      </c>
      <c r="CD251" s="671">
        <v>0</v>
      </c>
      <c r="CE251" s="671">
        <v>0</v>
      </c>
      <c r="CF251" s="671">
        <v>0</v>
      </c>
      <c r="CG251" s="671">
        <v>0</v>
      </c>
      <c r="CH251" s="671">
        <v>0</v>
      </c>
      <c r="CI251" s="672">
        <v>0</v>
      </c>
      <c r="CJ251" s="1619"/>
      <c r="CK251" s="1620"/>
    </row>
    <row r="252" spans="1:89" s="1621" customFormat="1" x14ac:dyDescent="0.35">
      <c r="A252" s="1618"/>
      <c r="B252" s="944" t="s">
        <v>418</v>
      </c>
      <c r="C252" s="945" t="s">
        <v>419</v>
      </c>
      <c r="D252" s="675" t="s">
        <v>420</v>
      </c>
      <c r="E252" s="676" t="s">
        <v>398</v>
      </c>
      <c r="F252" s="677">
        <v>2</v>
      </c>
      <c r="G252" s="670">
        <v>0</v>
      </c>
      <c r="H252" s="670">
        <v>0</v>
      </c>
      <c r="I252" s="670">
        <v>0</v>
      </c>
      <c r="J252" s="670">
        <v>0</v>
      </c>
      <c r="K252" s="670">
        <v>0</v>
      </c>
      <c r="L252" s="670">
        <v>0</v>
      </c>
      <c r="M252" s="671">
        <v>0</v>
      </c>
      <c r="N252" s="671">
        <v>0</v>
      </c>
      <c r="O252" s="671">
        <v>0</v>
      </c>
      <c r="P252" s="671">
        <v>0</v>
      </c>
      <c r="Q252" s="671">
        <v>0</v>
      </c>
      <c r="R252" s="671">
        <v>0</v>
      </c>
      <c r="S252" s="671">
        <v>0</v>
      </c>
      <c r="T252" s="671">
        <v>0</v>
      </c>
      <c r="U252" s="671">
        <v>0</v>
      </c>
      <c r="V252" s="671">
        <v>0</v>
      </c>
      <c r="W252" s="671">
        <v>0</v>
      </c>
      <c r="X252" s="671">
        <v>0</v>
      </c>
      <c r="Y252" s="671">
        <v>0</v>
      </c>
      <c r="Z252" s="671">
        <v>0</v>
      </c>
      <c r="AA252" s="671">
        <v>0</v>
      </c>
      <c r="AB252" s="671">
        <v>0</v>
      </c>
      <c r="AC252" s="671">
        <v>0</v>
      </c>
      <c r="AD252" s="671">
        <v>0</v>
      </c>
      <c r="AE252" s="671">
        <v>0</v>
      </c>
      <c r="AF252" s="671">
        <v>0</v>
      </c>
      <c r="AG252" s="671">
        <v>0</v>
      </c>
      <c r="AH252" s="671">
        <v>0</v>
      </c>
      <c r="AI252" s="671">
        <v>0</v>
      </c>
      <c r="AJ252" s="671">
        <v>0</v>
      </c>
      <c r="AK252" s="671">
        <v>0</v>
      </c>
      <c r="AL252" s="671">
        <v>0</v>
      </c>
      <c r="AM252" s="671">
        <v>0</v>
      </c>
      <c r="AN252" s="671">
        <v>0</v>
      </c>
      <c r="AO252" s="671">
        <v>0</v>
      </c>
      <c r="AP252" s="671">
        <v>0</v>
      </c>
      <c r="AQ252" s="671">
        <v>0</v>
      </c>
      <c r="AR252" s="671">
        <v>0</v>
      </c>
      <c r="AS252" s="671">
        <v>0</v>
      </c>
      <c r="AT252" s="671">
        <v>0</v>
      </c>
      <c r="AU252" s="671">
        <v>0</v>
      </c>
      <c r="AV252" s="671">
        <v>0</v>
      </c>
      <c r="AW252" s="671">
        <v>0</v>
      </c>
      <c r="AX252" s="671">
        <v>0</v>
      </c>
      <c r="AY252" s="671">
        <v>0</v>
      </c>
      <c r="AZ252" s="671">
        <v>0</v>
      </c>
      <c r="BA252" s="671">
        <v>0</v>
      </c>
      <c r="BB252" s="671">
        <v>0</v>
      </c>
      <c r="BC252" s="671">
        <v>0</v>
      </c>
      <c r="BD252" s="671">
        <v>0</v>
      </c>
      <c r="BE252" s="671">
        <v>0</v>
      </c>
      <c r="BF252" s="671">
        <v>0</v>
      </c>
      <c r="BG252" s="671">
        <v>0</v>
      </c>
      <c r="BH252" s="671">
        <v>0</v>
      </c>
      <c r="BI252" s="671">
        <v>0</v>
      </c>
      <c r="BJ252" s="671">
        <v>0</v>
      </c>
      <c r="BK252" s="671">
        <v>0</v>
      </c>
      <c r="BL252" s="671">
        <v>0</v>
      </c>
      <c r="BM252" s="671">
        <v>0</v>
      </c>
      <c r="BN252" s="671">
        <v>0</v>
      </c>
      <c r="BO252" s="671">
        <v>0</v>
      </c>
      <c r="BP252" s="671">
        <v>0</v>
      </c>
      <c r="BQ252" s="671">
        <v>0</v>
      </c>
      <c r="BR252" s="671">
        <v>0</v>
      </c>
      <c r="BS252" s="671">
        <v>0</v>
      </c>
      <c r="BT252" s="671">
        <v>0</v>
      </c>
      <c r="BU252" s="671">
        <v>0</v>
      </c>
      <c r="BV252" s="671">
        <v>0</v>
      </c>
      <c r="BW252" s="671">
        <v>0</v>
      </c>
      <c r="BX252" s="671">
        <v>0</v>
      </c>
      <c r="BY252" s="671">
        <v>0</v>
      </c>
      <c r="BZ252" s="671">
        <v>0</v>
      </c>
      <c r="CA252" s="671">
        <v>0</v>
      </c>
      <c r="CB252" s="671">
        <v>0</v>
      </c>
      <c r="CC252" s="671">
        <v>0</v>
      </c>
      <c r="CD252" s="671">
        <v>0</v>
      </c>
      <c r="CE252" s="671">
        <v>0</v>
      </c>
      <c r="CF252" s="671">
        <v>0</v>
      </c>
      <c r="CG252" s="671">
        <v>0</v>
      </c>
      <c r="CH252" s="671">
        <v>0</v>
      </c>
      <c r="CI252" s="672">
        <v>0</v>
      </c>
      <c r="CJ252" s="1619"/>
      <c r="CK252" s="1620"/>
    </row>
    <row r="253" spans="1:89" s="1621" customFormat="1" ht="28" x14ac:dyDescent="0.35">
      <c r="A253" s="1618"/>
      <c r="B253" s="944" t="s">
        <v>421</v>
      </c>
      <c r="C253" s="945" t="s">
        <v>422</v>
      </c>
      <c r="D253" s="675" t="s">
        <v>423</v>
      </c>
      <c r="E253" s="676" t="s">
        <v>398</v>
      </c>
      <c r="F253" s="677">
        <v>2</v>
      </c>
      <c r="G253" s="670">
        <v>0</v>
      </c>
      <c r="H253" s="670">
        <v>0</v>
      </c>
      <c r="I253" s="670">
        <v>0</v>
      </c>
      <c r="J253" s="670">
        <v>0</v>
      </c>
      <c r="K253" s="670">
        <v>0</v>
      </c>
      <c r="L253" s="670">
        <v>0</v>
      </c>
      <c r="M253" s="671">
        <v>0</v>
      </c>
      <c r="N253" s="671">
        <v>0</v>
      </c>
      <c r="O253" s="671">
        <v>0</v>
      </c>
      <c r="P253" s="671">
        <v>0</v>
      </c>
      <c r="Q253" s="671">
        <v>0</v>
      </c>
      <c r="R253" s="671">
        <v>0</v>
      </c>
      <c r="S253" s="671">
        <v>0</v>
      </c>
      <c r="T253" s="671">
        <v>0</v>
      </c>
      <c r="U253" s="671">
        <v>0</v>
      </c>
      <c r="V253" s="671">
        <v>0</v>
      </c>
      <c r="W253" s="671">
        <v>0</v>
      </c>
      <c r="X253" s="671">
        <v>0</v>
      </c>
      <c r="Y253" s="671">
        <v>0</v>
      </c>
      <c r="Z253" s="671">
        <v>0</v>
      </c>
      <c r="AA253" s="671">
        <v>0</v>
      </c>
      <c r="AB253" s="671">
        <v>0</v>
      </c>
      <c r="AC253" s="671">
        <v>0</v>
      </c>
      <c r="AD253" s="671">
        <v>0</v>
      </c>
      <c r="AE253" s="671">
        <v>0</v>
      </c>
      <c r="AF253" s="671">
        <v>0</v>
      </c>
      <c r="AG253" s="671">
        <v>0</v>
      </c>
      <c r="AH253" s="671">
        <v>0</v>
      </c>
      <c r="AI253" s="671">
        <v>0</v>
      </c>
      <c r="AJ253" s="671">
        <v>0</v>
      </c>
      <c r="AK253" s="671">
        <v>0</v>
      </c>
      <c r="AL253" s="671">
        <v>0</v>
      </c>
      <c r="AM253" s="671">
        <v>0</v>
      </c>
      <c r="AN253" s="671">
        <v>0</v>
      </c>
      <c r="AO253" s="671">
        <v>0</v>
      </c>
      <c r="AP253" s="671">
        <v>0</v>
      </c>
      <c r="AQ253" s="671">
        <v>0</v>
      </c>
      <c r="AR253" s="671">
        <v>0</v>
      </c>
      <c r="AS253" s="671">
        <v>0</v>
      </c>
      <c r="AT253" s="671">
        <v>0</v>
      </c>
      <c r="AU253" s="671">
        <v>0</v>
      </c>
      <c r="AV253" s="671">
        <v>0</v>
      </c>
      <c r="AW253" s="671">
        <v>0</v>
      </c>
      <c r="AX253" s="671">
        <v>0</v>
      </c>
      <c r="AY253" s="671">
        <v>0</v>
      </c>
      <c r="AZ253" s="671">
        <v>0</v>
      </c>
      <c r="BA253" s="671">
        <v>0</v>
      </c>
      <c r="BB253" s="671">
        <v>0</v>
      </c>
      <c r="BC253" s="671">
        <v>0</v>
      </c>
      <c r="BD253" s="671">
        <v>0</v>
      </c>
      <c r="BE253" s="671">
        <v>0</v>
      </c>
      <c r="BF253" s="671">
        <v>0</v>
      </c>
      <c r="BG253" s="671">
        <v>0</v>
      </c>
      <c r="BH253" s="671">
        <v>0</v>
      </c>
      <c r="BI253" s="671">
        <v>0</v>
      </c>
      <c r="BJ253" s="671">
        <v>0</v>
      </c>
      <c r="BK253" s="671">
        <v>0</v>
      </c>
      <c r="BL253" s="671">
        <v>0</v>
      </c>
      <c r="BM253" s="671">
        <v>0</v>
      </c>
      <c r="BN253" s="671">
        <v>0</v>
      </c>
      <c r="BO253" s="671">
        <v>0</v>
      </c>
      <c r="BP253" s="671">
        <v>0</v>
      </c>
      <c r="BQ253" s="671">
        <v>0</v>
      </c>
      <c r="BR253" s="671">
        <v>0</v>
      </c>
      <c r="BS253" s="671">
        <v>0</v>
      </c>
      <c r="BT253" s="671">
        <v>0</v>
      </c>
      <c r="BU253" s="671">
        <v>0</v>
      </c>
      <c r="BV253" s="671">
        <v>0</v>
      </c>
      <c r="BW253" s="671">
        <v>0</v>
      </c>
      <c r="BX253" s="671">
        <v>0</v>
      </c>
      <c r="BY253" s="671">
        <v>0</v>
      </c>
      <c r="BZ253" s="671">
        <v>0</v>
      </c>
      <c r="CA253" s="671">
        <v>0</v>
      </c>
      <c r="CB253" s="671">
        <v>0</v>
      </c>
      <c r="CC253" s="671">
        <v>0</v>
      </c>
      <c r="CD253" s="671">
        <v>0</v>
      </c>
      <c r="CE253" s="671">
        <v>0</v>
      </c>
      <c r="CF253" s="671">
        <v>0</v>
      </c>
      <c r="CG253" s="671">
        <v>0</v>
      </c>
      <c r="CH253" s="671">
        <v>0</v>
      </c>
      <c r="CI253" s="672">
        <v>0</v>
      </c>
      <c r="CJ253" s="1619"/>
      <c r="CK253" s="1620"/>
    </row>
    <row r="254" spans="1:89" s="1621" customFormat="1" x14ac:dyDescent="0.35">
      <c r="A254" s="1618"/>
      <c r="B254" s="944" t="s">
        <v>424</v>
      </c>
      <c r="C254" s="945" t="s">
        <v>425</v>
      </c>
      <c r="D254" s="943" t="s">
        <v>82</v>
      </c>
      <c r="E254" s="929" t="s">
        <v>398</v>
      </c>
      <c r="F254" s="930">
        <v>2</v>
      </c>
      <c r="G254" s="670">
        <v>2.1680000000000001</v>
      </c>
      <c r="H254" s="670">
        <v>2.1680000000000001</v>
      </c>
      <c r="I254" s="670">
        <v>2.1680000000000001</v>
      </c>
      <c r="J254" s="670">
        <v>2.1680000000000001</v>
      </c>
      <c r="K254" s="670">
        <v>2.1680000000000001</v>
      </c>
      <c r="L254" s="670">
        <v>2.1680000000000001</v>
      </c>
      <c r="M254" s="670">
        <v>2.1680000000000001</v>
      </c>
      <c r="N254" s="670">
        <v>2.1680000000000001</v>
      </c>
      <c r="O254" s="670">
        <v>2.1680000000000001</v>
      </c>
      <c r="P254" s="670">
        <v>2.1680000000000001</v>
      </c>
      <c r="Q254" s="670">
        <v>2.1680000000000001</v>
      </c>
      <c r="R254" s="670">
        <v>2.1680000000000001</v>
      </c>
      <c r="S254" s="670">
        <v>2.1680000000000001</v>
      </c>
      <c r="T254" s="670">
        <v>2.1680000000000001</v>
      </c>
      <c r="U254" s="670">
        <v>2.1680000000000001</v>
      </c>
      <c r="V254" s="670">
        <v>2.1680000000000001</v>
      </c>
      <c r="W254" s="670">
        <v>2.1680000000000001</v>
      </c>
      <c r="X254" s="670">
        <v>2.1680000000000001</v>
      </c>
      <c r="Y254" s="670">
        <v>2.1680000000000001</v>
      </c>
      <c r="Z254" s="670">
        <v>2.1680000000000001</v>
      </c>
      <c r="AA254" s="670">
        <v>2.1680000000000001</v>
      </c>
      <c r="AB254" s="670">
        <v>2.1680000000000001</v>
      </c>
      <c r="AC254" s="670">
        <v>2.1680000000000001</v>
      </c>
      <c r="AD254" s="670">
        <v>2.1680000000000001</v>
      </c>
      <c r="AE254" s="670">
        <v>2.1680000000000001</v>
      </c>
      <c r="AF254" s="670">
        <v>2.1680000000000001</v>
      </c>
      <c r="AG254" s="670">
        <v>2.1680000000000001</v>
      </c>
      <c r="AH254" s="670">
        <v>2.1680000000000001</v>
      </c>
      <c r="AI254" s="670">
        <v>2.1680000000000001</v>
      </c>
      <c r="AJ254" s="670">
        <v>2.1680000000000001</v>
      </c>
      <c r="AK254" s="670">
        <v>2.1680000000000001</v>
      </c>
      <c r="AL254" s="670">
        <v>2.1680000000000001</v>
      </c>
      <c r="AM254" s="670">
        <v>2.1680000000000001</v>
      </c>
      <c r="AN254" s="670">
        <v>2.1680000000000001</v>
      </c>
      <c r="AO254" s="670">
        <v>2.1680000000000001</v>
      </c>
      <c r="AP254" s="670">
        <v>2.1680000000000001</v>
      </c>
      <c r="AQ254" s="670">
        <v>2.1680000000000001</v>
      </c>
      <c r="AR254" s="670">
        <v>2.1680000000000001</v>
      </c>
      <c r="AS254" s="670">
        <v>2.1680000000000001</v>
      </c>
      <c r="AT254" s="670">
        <v>2.1680000000000001</v>
      </c>
      <c r="AU254" s="670">
        <v>2.1680000000000001</v>
      </c>
      <c r="AV254" s="670">
        <v>2.1680000000000001</v>
      </c>
      <c r="AW254" s="670">
        <v>2.1680000000000001</v>
      </c>
      <c r="AX254" s="670">
        <v>2.1680000000000001</v>
      </c>
      <c r="AY254" s="670">
        <v>2.1680000000000001</v>
      </c>
      <c r="AZ254" s="670">
        <v>2.1680000000000001</v>
      </c>
      <c r="BA254" s="670">
        <v>2.1680000000000001</v>
      </c>
      <c r="BB254" s="670">
        <v>2.1680000000000001</v>
      </c>
      <c r="BC254" s="670">
        <v>2.1680000000000001</v>
      </c>
      <c r="BD254" s="670">
        <v>2.1680000000000001</v>
      </c>
      <c r="BE254" s="670">
        <v>2.1680000000000001</v>
      </c>
      <c r="BF254" s="670">
        <v>2.1680000000000001</v>
      </c>
      <c r="BG254" s="670">
        <v>2.1680000000000001</v>
      </c>
      <c r="BH254" s="670">
        <v>2.1680000000000001</v>
      </c>
      <c r="BI254" s="670">
        <v>2.1680000000000001</v>
      </c>
      <c r="BJ254" s="670">
        <v>2.1680000000000001</v>
      </c>
      <c r="BK254" s="670">
        <v>2.1680000000000001</v>
      </c>
      <c r="BL254" s="670">
        <v>2.1680000000000001</v>
      </c>
      <c r="BM254" s="670">
        <v>2.1680000000000001</v>
      </c>
      <c r="BN254" s="670">
        <v>2.1680000000000001</v>
      </c>
      <c r="BO254" s="670">
        <v>2.1680000000000001</v>
      </c>
      <c r="BP254" s="670">
        <v>2.1680000000000001</v>
      </c>
      <c r="BQ254" s="670">
        <v>2.1680000000000001</v>
      </c>
      <c r="BR254" s="670">
        <v>2.1680000000000001</v>
      </c>
      <c r="BS254" s="670">
        <v>2.1680000000000001</v>
      </c>
      <c r="BT254" s="670">
        <v>2.1680000000000001</v>
      </c>
      <c r="BU254" s="670">
        <v>2.1680000000000001</v>
      </c>
      <c r="BV254" s="670">
        <v>2.1680000000000001</v>
      </c>
      <c r="BW254" s="670">
        <v>2.1680000000000001</v>
      </c>
      <c r="BX254" s="670">
        <v>2.1680000000000001</v>
      </c>
      <c r="BY254" s="670">
        <v>2.1680000000000001</v>
      </c>
      <c r="BZ254" s="670">
        <v>2.1680000000000001</v>
      </c>
      <c r="CA254" s="670">
        <v>2.1680000000000001</v>
      </c>
      <c r="CB254" s="670">
        <v>2.1680000000000001</v>
      </c>
      <c r="CC254" s="670">
        <v>2.1680000000000001</v>
      </c>
      <c r="CD254" s="670">
        <v>2.1680000000000001</v>
      </c>
      <c r="CE254" s="670">
        <v>2.1680000000000001</v>
      </c>
      <c r="CF254" s="670">
        <v>2.1680000000000001</v>
      </c>
      <c r="CG254" s="670">
        <v>2.1680000000000001</v>
      </c>
      <c r="CH254" s="670">
        <v>2.1680000000000001</v>
      </c>
      <c r="CI254" s="670">
        <v>2.1680000000000001</v>
      </c>
      <c r="CJ254" s="1619"/>
      <c r="CK254" s="1620"/>
    </row>
    <row r="255" spans="1:89" s="1621" customFormat="1" ht="28" x14ac:dyDescent="0.35">
      <c r="A255" s="1618"/>
      <c r="B255" s="944" t="s">
        <v>426</v>
      </c>
      <c r="C255" s="945" t="s">
        <v>427</v>
      </c>
      <c r="D255" s="943" t="s">
        <v>82</v>
      </c>
      <c r="E255" s="929" t="s">
        <v>398</v>
      </c>
      <c r="F255" s="930">
        <v>2</v>
      </c>
      <c r="G255" s="670">
        <v>34.685000000000002</v>
      </c>
      <c r="H255" s="670">
        <v>33.991300000000003</v>
      </c>
      <c r="I255" s="670">
        <v>33.831166670000002</v>
      </c>
      <c r="J255" s="670">
        <v>33.090279410000001</v>
      </c>
      <c r="K255" s="670">
        <v>32.364084810000001</v>
      </c>
      <c r="L255" s="670">
        <v>31.651472330000001</v>
      </c>
      <c r="M255" s="670">
        <v>30.949854420000001</v>
      </c>
      <c r="N255" s="670">
        <v>30.26037165</v>
      </c>
      <c r="O255" s="670">
        <v>29.585151999999997</v>
      </c>
      <c r="P255" s="670">
        <v>28.919004359999999</v>
      </c>
      <c r="Q255" s="670">
        <v>28.260995269999999</v>
      </c>
      <c r="R255" s="670">
        <v>27.610204890000002</v>
      </c>
      <c r="S255" s="670">
        <v>26.965718939999999</v>
      </c>
      <c r="T255" s="670">
        <v>26.326619969999999</v>
      </c>
      <c r="U255" s="670">
        <v>25.69481481</v>
      </c>
      <c r="V255" s="670">
        <v>25.072405009999997</v>
      </c>
      <c r="W255" s="670">
        <v>24.461643209999998</v>
      </c>
      <c r="X255" s="670">
        <v>23.864874260000001</v>
      </c>
      <c r="Y255" s="670">
        <v>23.284462899999998</v>
      </c>
      <c r="Z255" s="670">
        <v>22.719782439999999</v>
      </c>
      <c r="AA255" s="670">
        <v>22.170239590000001</v>
      </c>
      <c r="AB255" s="670">
        <v>21.635272089999997</v>
      </c>
      <c r="AC255" s="670">
        <v>21.114346480000002</v>
      </c>
      <c r="AD255" s="670">
        <v>20.606956109999999</v>
      </c>
      <c r="AE255" s="670">
        <v>20.112619370000001</v>
      </c>
      <c r="AF255" s="670">
        <v>19.630877999999999</v>
      </c>
      <c r="AG255" s="670">
        <v>19.16129557</v>
      </c>
      <c r="AH255" s="670">
        <v>18.703456129999999</v>
      </c>
      <c r="AI255" s="670">
        <v>18.25691557</v>
      </c>
      <c r="AJ255" s="670">
        <v>17.821395069999998</v>
      </c>
      <c r="AK255" s="670">
        <v>17.396622660000002</v>
      </c>
      <c r="AL255" s="670">
        <v>16.98233308</v>
      </c>
      <c r="AM255" s="670">
        <v>16.57826764</v>
      </c>
      <c r="AN255" s="670">
        <v>16.18417402</v>
      </c>
      <c r="AO255" s="670">
        <v>15.79980613</v>
      </c>
      <c r="AP255" s="670">
        <v>15.424923940000001</v>
      </c>
      <c r="AQ255" s="670">
        <v>15.059293369999999</v>
      </c>
      <c r="AR255" s="670">
        <v>14.702686089999998</v>
      </c>
      <c r="AS255" s="670">
        <v>14.35487942</v>
      </c>
      <c r="AT255" s="670">
        <v>14.015656180000001</v>
      </c>
      <c r="AU255" s="670">
        <v>13.68480454</v>
      </c>
      <c r="AV255" s="670">
        <v>13.36211788</v>
      </c>
      <c r="AW255" s="670">
        <v>13.047394730000001</v>
      </c>
      <c r="AX255" s="670">
        <v>12.740438529999999</v>
      </c>
      <c r="AY255" s="670">
        <v>12.44105763</v>
      </c>
      <c r="AZ255" s="670">
        <v>12.149065060000002</v>
      </c>
      <c r="BA255" s="670">
        <v>11.86427849</v>
      </c>
      <c r="BB255" s="670">
        <v>11.5865201</v>
      </c>
      <c r="BC255" s="670">
        <v>11.31561642</v>
      </c>
      <c r="BD255" s="670">
        <v>11.051398300000001</v>
      </c>
      <c r="BE255" s="670">
        <v>10.793700749999999</v>
      </c>
      <c r="BF255" s="670">
        <v>10.542362839999999</v>
      </c>
      <c r="BG255" s="670">
        <v>10.29722763</v>
      </c>
      <c r="BH255" s="670">
        <v>10.05814204</v>
      </c>
      <c r="BI255" s="670">
        <v>9.8249567849999995</v>
      </c>
      <c r="BJ255" s="670">
        <v>9.5975262390000005</v>
      </c>
      <c r="BK255" s="670">
        <v>9.3757083879999996</v>
      </c>
      <c r="BL255" s="670">
        <v>9.1593647180000008</v>
      </c>
      <c r="BM255" s="670">
        <v>8.9483601329999995</v>
      </c>
      <c r="BN255" s="670">
        <v>8.7425628720000006</v>
      </c>
      <c r="BO255" s="670">
        <v>8.5418444230000006</v>
      </c>
      <c r="BP255" s="670">
        <v>8.3460794499999995</v>
      </c>
      <c r="BQ255" s="670">
        <v>8.1551457050000007</v>
      </c>
      <c r="BR255" s="670">
        <v>7.9689239610000007</v>
      </c>
      <c r="BS255" s="670">
        <v>7.7872979320000004</v>
      </c>
      <c r="BT255" s="670">
        <v>7.6101542000000002</v>
      </c>
      <c r="BU255" s="670">
        <v>7.4373821490000003</v>
      </c>
      <c r="BV255" s="670">
        <v>7.2688738919999993</v>
      </c>
      <c r="BW255" s="670">
        <v>7.1045242029999995</v>
      </c>
      <c r="BX255" s="670">
        <v>6.9442304539999995</v>
      </c>
      <c r="BY255" s="670">
        <v>6.7878925490000004</v>
      </c>
      <c r="BZ255" s="670">
        <v>6.6354128650000002</v>
      </c>
      <c r="CA255" s="670">
        <v>6.4866961830000003</v>
      </c>
      <c r="CB255" s="670">
        <v>6.34164964</v>
      </c>
      <c r="CC255" s="670">
        <v>6.2001826590000002</v>
      </c>
      <c r="CD255" s="670">
        <v>6.0622069029999999</v>
      </c>
      <c r="CE255" s="670">
        <v>5.9276362110000003</v>
      </c>
      <c r="CF255" s="670">
        <v>5.7963865530000005</v>
      </c>
      <c r="CG255" s="670">
        <v>5.6683759680000003</v>
      </c>
      <c r="CH255" s="670">
        <v>5.5435245200000001</v>
      </c>
      <c r="CI255" s="670">
        <v>5.421754247</v>
      </c>
      <c r="CJ255" s="1619"/>
      <c r="CK255" s="1620"/>
    </row>
    <row r="256" spans="1:89" s="1621" customFormat="1" x14ac:dyDescent="0.35">
      <c r="A256" s="1618"/>
      <c r="B256" s="944" t="s">
        <v>428</v>
      </c>
      <c r="C256" s="945" t="s">
        <v>429</v>
      </c>
      <c r="D256" s="943" t="s">
        <v>82</v>
      </c>
      <c r="E256" s="929" t="s">
        <v>398</v>
      </c>
      <c r="F256" s="930">
        <v>2</v>
      </c>
      <c r="G256" s="670">
        <v>0.88</v>
      </c>
      <c r="H256" s="670">
        <v>0.88</v>
      </c>
      <c r="I256" s="670">
        <v>0.88</v>
      </c>
      <c r="J256" s="670">
        <v>0.88</v>
      </c>
      <c r="K256" s="670">
        <v>0.88</v>
      </c>
      <c r="L256" s="670">
        <v>0.88</v>
      </c>
      <c r="M256" s="670">
        <v>0.88</v>
      </c>
      <c r="N256" s="670">
        <v>0.88</v>
      </c>
      <c r="O256" s="670">
        <v>0.88</v>
      </c>
      <c r="P256" s="670">
        <v>0.88</v>
      </c>
      <c r="Q256" s="670">
        <v>0.88</v>
      </c>
      <c r="R256" s="670">
        <v>0.88</v>
      </c>
      <c r="S256" s="670">
        <v>0.88</v>
      </c>
      <c r="T256" s="670">
        <v>0.88</v>
      </c>
      <c r="U256" s="670">
        <v>0.88</v>
      </c>
      <c r="V256" s="670">
        <v>0.88</v>
      </c>
      <c r="W256" s="670">
        <v>0.88</v>
      </c>
      <c r="X256" s="670">
        <v>0.88</v>
      </c>
      <c r="Y256" s="670">
        <v>0.88</v>
      </c>
      <c r="Z256" s="670">
        <v>0.88</v>
      </c>
      <c r="AA256" s="670">
        <v>0.88</v>
      </c>
      <c r="AB256" s="670">
        <v>0.88</v>
      </c>
      <c r="AC256" s="670">
        <v>0.88</v>
      </c>
      <c r="AD256" s="670">
        <v>0.88</v>
      </c>
      <c r="AE256" s="670">
        <v>0.88</v>
      </c>
      <c r="AF256" s="670">
        <v>0.88</v>
      </c>
      <c r="AG256" s="670">
        <v>0.88</v>
      </c>
      <c r="AH256" s="670">
        <v>0.88</v>
      </c>
      <c r="AI256" s="670">
        <v>0.88</v>
      </c>
      <c r="AJ256" s="670">
        <v>0.88</v>
      </c>
      <c r="AK256" s="670">
        <v>0.88</v>
      </c>
      <c r="AL256" s="670">
        <v>0.88</v>
      </c>
      <c r="AM256" s="670">
        <v>0.88</v>
      </c>
      <c r="AN256" s="670">
        <v>0.88</v>
      </c>
      <c r="AO256" s="670">
        <v>0.88</v>
      </c>
      <c r="AP256" s="670">
        <v>0.88</v>
      </c>
      <c r="AQ256" s="670">
        <v>0.88</v>
      </c>
      <c r="AR256" s="670">
        <v>0.88</v>
      </c>
      <c r="AS256" s="670">
        <v>0.88</v>
      </c>
      <c r="AT256" s="670">
        <v>0.88</v>
      </c>
      <c r="AU256" s="670">
        <v>0.88</v>
      </c>
      <c r="AV256" s="670">
        <v>0.88</v>
      </c>
      <c r="AW256" s="670">
        <v>0.88</v>
      </c>
      <c r="AX256" s="670">
        <v>0.88</v>
      </c>
      <c r="AY256" s="670">
        <v>0.88</v>
      </c>
      <c r="AZ256" s="670">
        <v>0.88</v>
      </c>
      <c r="BA256" s="670">
        <v>0.88</v>
      </c>
      <c r="BB256" s="670">
        <v>0.88</v>
      </c>
      <c r="BC256" s="670">
        <v>0.88</v>
      </c>
      <c r="BD256" s="670">
        <v>0.88</v>
      </c>
      <c r="BE256" s="670">
        <v>0.88</v>
      </c>
      <c r="BF256" s="670">
        <v>0.88</v>
      </c>
      <c r="BG256" s="670">
        <v>0.88</v>
      </c>
      <c r="BH256" s="670">
        <v>0.88</v>
      </c>
      <c r="BI256" s="670">
        <v>0.88</v>
      </c>
      <c r="BJ256" s="670">
        <v>0.88</v>
      </c>
      <c r="BK256" s="670">
        <v>0.88</v>
      </c>
      <c r="BL256" s="670">
        <v>0.88</v>
      </c>
      <c r="BM256" s="670">
        <v>0.88</v>
      </c>
      <c r="BN256" s="670">
        <v>0.88</v>
      </c>
      <c r="BO256" s="670">
        <v>0.88</v>
      </c>
      <c r="BP256" s="670">
        <v>0.88</v>
      </c>
      <c r="BQ256" s="670">
        <v>0.88</v>
      </c>
      <c r="BR256" s="670">
        <v>0.88</v>
      </c>
      <c r="BS256" s="670">
        <v>0.88</v>
      </c>
      <c r="BT256" s="670">
        <v>0.88</v>
      </c>
      <c r="BU256" s="670">
        <v>0.88</v>
      </c>
      <c r="BV256" s="670">
        <v>0.88</v>
      </c>
      <c r="BW256" s="670">
        <v>0.88</v>
      </c>
      <c r="BX256" s="670">
        <v>0.88</v>
      </c>
      <c r="BY256" s="670">
        <v>0.88</v>
      </c>
      <c r="BZ256" s="670">
        <v>0.88</v>
      </c>
      <c r="CA256" s="670">
        <v>0.88</v>
      </c>
      <c r="CB256" s="670">
        <v>0.88</v>
      </c>
      <c r="CC256" s="670">
        <v>0.88</v>
      </c>
      <c r="CD256" s="670">
        <v>0.88</v>
      </c>
      <c r="CE256" s="670">
        <v>0.88</v>
      </c>
      <c r="CF256" s="670">
        <v>0.88</v>
      </c>
      <c r="CG256" s="670">
        <v>0.88</v>
      </c>
      <c r="CH256" s="670">
        <v>0.88</v>
      </c>
      <c r="CI256" s="670">
        <v>0.88</v>
      </c>
      <c r="CJ256" s="1619"/>
      <c r="CK256" s="1620"/>
    </row>
    <row r="257" spans="1:89" s="64" customFormat="1" ht="28.5" thickBot="1" x14ac:dyDescent="0.4">
      <c r="A257" s="58"/>
      <c r="B257" s="946" t="s">
        <v>430</v>
      </c>
      <c r="C257" s="947" t="s">
        <v>431</v>
      </c>
      <c r="D257" s="948" t="s">
        <v>432</v>
      </c>
      <c r="E257" s="949" t="s">
        <v>398</v>
      </c>
      <c r="F257" s="950">
        <v>2</v>
      </c>
      <c r="G257" s="630">
        <f>SUM(G244:G247)+G254+G255+G256</f>
        <v>144.38675646000002</v>
      </c>
      <c r="H257" s="630">
        <f t="shared" ref="H257:BS257" si="183">SUM(H244:H247)+H254+H255+H256</f>
        <v>141.07899057</v>
      </c>
      <c r="I257" s="630">
        <f t="shared" si="183"/>
        <v>141.52016666999998</v>
      </c>
      <c r="J257" s="630">
        <f t="shared" si="183"/>
        <v>139.55765707</v>
      </c>
      <c r="K257" s="630">
        <f t="shared" si="183"/>
        <v>137.26586914000001</v>
      </c>
      <c r="L257" s="630">
        <f t="shared" si="183"/>
        <v>134.98554274</v>
      </c>
      <c r="M257" s="630">
        <f t="shared" si="183"/>
        <v>132.70413669000001</v>
      </c>
      <c r="N257" s="630">
        <f t="shared" si="183"/>
        <v>130.32468012000001</v>
      </c>
      <c r="O257" s="630">
        <f t="shared" si="183"/>
        <v>127.9928245</v>
      </c>
      <c r="P257" s="630">
        <f t="shared" si="183"/>
        <v>125.67525124999999</v>
      </c>
      <c r="Q257" s="630">
        <f t="shared" si="183"/>
        <v>123.34332906999998</v>
      </c>
      <c r="R257" s="630">
        <f t="shared" si="183"/>
        <v>121.01939249000002</v>
      </c>
      <c r="S257" s="630">
        <f t="shared" si="183"/>
        <v>118.65132901</v>
      </c>
      <c r="T257" s="630">
        <f t="shared" si="183"/>
        <v>116.27516056</v>
      </c>
      <c r="U257" s="630">
        <f t="shared" si="183"/>
        <v>113.9700361</v>
      </c>
      <c r="V257" s="630">
        <f t="shared" si="183"/>
        <v>111.72141486</v>
      </c>
      <c r="W257" s="630">
        <f t="shared" si="183"/>
        <v>109.49037580000001</v>
      </c>
      <c r="X257" s="630">
        <f t="shared" si="183"/>
        <v>107.24060145999999</v>
      </c>
      <c r="Y257" s="630">
        <f t="shared" si="183"/>
        <v>105.06815447</v>
      </c>
      <c r="Z257" s="630">
        <f t="shared" si="183"/>
        <v>102.98227332</v>
      </c>
      <c r="AA257" s="630">
        <f t="shared" si="183"/>
        <v>100.91400157999999</v>
      </c>
      <c r="AB257" s="630">
        <f t="shared" si="183"/>
        <v>98.890224350000011</v>
      </c>
      <c r="AC257" s="630">
        <f t="shared" si="183"/>
        <v>96.94312807</v>
      </c>
      <c r="AD257" s="630">
        <f t="shared" si="183"/>
        <v>95.046926670000005</v>
      </c>
      <c r="AE257" s="630">
        <f t="shared" si="183"/>
        <v>93.224585300000001</v>
      </c>
      <c r="AF257" s="630">
        <f t="shared" si="183"/>
        <v>91.439485649999995</v>
      </c>
      <c r="AG257" s="630">
        <f t="shared" si="183"/>
        <v>89.69838931999999</v>
      </c>
      <c r="AH257" s="630">
        <f t="shared" si="183"/>
        <v>87.990829469999994</v>
      </c>
      <c r="AI257" s="630">
        <f t="shared" si="183"/>
        <v>86.345783380000015</v>
      </c>
      <c r="AJ257" s="630">
        <f t="shared" si="183"/>
        <v>84.735643920000001</v>
      </c>
      <c r="AK257" s="630">
        <f t="shared" si="183"/>
        <v>83.171606630000014</v>
      </c>
      <c r="AL257" s="630">
        <f t="shared" si="183"/>
        <v>81.66977168999999</v>
      </c>
      <c r="AM257" s="630">
        <f t="shared" si="183"/>
        <v>80.221471049999991</v>
      </c>
      <c r="AN257" s="630">
        <f t="shared" si="183"/>
        <v>78.799654040000007</v>
      </c>
      <c r="AO257" s="630">
        <f t="shared" si="183"/>
        <v>77.422844650000002</v>
      </c>
      <c r="AP257" s="630">
        <f t="shared" si="183"/>
        <v>76.066937940000003</v>
      </c>
      <c r="AQ257" s="630">
        <f t="shared" si="183"/>
        <v>74.746479109999996</v>
      </c>
      <c r="AR257" s="630">
        <f t="shared" si="183"/>
        <v>73.452233109999995</v>
      </c>
      <c r="AS257" s="630">
        <f t="shared" si="183"/>
        <v>72.209317630000001</v>
      </c>
      <c r="AT257" s="630">
        <f t="shared" si="183"/>
        <v>70.991552030000008</v>
      </c>
      <c r="AU257" s="630">
        <f t="shared" si="183"/>
        <v>69.812251729999986</v>
      </c>
      <c r="AV257" s="630">
        <f t="shared" si="183"/>
        <v>68.652266349999991</v>
      </c>
      <c r="AW257" s="630">
        <f t="shared" si="183"/>
        <v>67.533119599999992</v>
      </c>
      <c r="AX257" s="630">
        <f t="shared" si="183"/>
        <v>66.431770790000002</v>
      </c>
      <c r="AY257" s="630">
        <f t="shared" si="183"/>
        <v>65.364504749999995</v>
      </c>
      <c r="AZ257" s="630">
        <f t="shared" si="183"/>
        <v>64.311313709999993</v>
      </c>
      <c r="BA257" s="630">
        <f t="shared" si="183"/>
        <v>63.292408990000006</v>
      </c>
      <c r="BB257" s="630">
        <f t="shared" si="183"/>
        <v>62.292035640000002</v>
      </c>
      <c r="BC257" s="630">
        <f t="shared" si="183"/>
        <v>61.329714930000002</v>
      </c>
      <c r="BD257" s="630">
        <f t="shared" si="183"/>
        <v>60.382346640000009</v>
      </c>
      <c r="BE257" s="630">
        <f t="shared" si="183"/>
        <v>59.469115079999995</v>
      </c>
      <c r="BF257" s="630">
        <f t="shared" si="183"/>
        <v>58.57924569</v>
      </c>
      <c r="BG257" s="630">
        <f t="shared" si="183"/>
        <v>57.723317600000009</v>
      </c>
      <c r="BH257" s="630">
        <f t="shared" si="183"/>
        <v>56.87968197</v>
      </c>
      <c r="BI257" s="630">
        <f t="shared" si="183"/>
        <v>56.069387655</v>
      </c>
      <c r="BJ257" s="630">
        <f t="shared" si="183"/>
        <v>55.272854068999997</v>
      </c>
      <c r="BK257" s="630">
        <f t="shared" si="183"/>
        <v>54.507029518000003</v>
      </c>
      <c r="BL257" s="630">
        <f t="shared" si="183"/>
        <v>53.754518348000005</v>
      </c>
      <c r="BM257" s="630">
        <f t="shared" si="183"/>
        <v>53.033458123000003</v>
      </c>
      <c r="BN257" s="630">
        <f t="shared" si="183"/>
        <v>52.320673022000001</v>
      </c>
      <c r="BO257" s="630">
        <f t="shared" si="183"/>
        <v>51.636592363000005</v>
      </c>
      <c r="BP257" s="630">
        <f t="shared" si="183"/>
        <v>50.95761108</v>
      </c>
      <c r="BQ257" s="630">
        <f t="shared" si="183"/>
        <v>50.304806135000007</v>
      </c>
      <c r="BR257" s="630">
        <f t="shared" si="183"/>
        <v>49.658041111000003</v>
      </c>
      <c r="BS257" s="630">
        <f t="shared" si="183"/>
        <v>49.038599072000004</v>
      </c>
      <c r="BT257" s="630">
        <f t="shared" ref="BT257:CI257" si="184">SUM(BT244:BT247)+BT254+BT255+BT256</f>
        <v>48.425119020000004</v>
      </c>
      <c r="BU257" s="630">
        <f t="shared" si="184"/>
        <v>47.836308679000005</v>
      </c>
      <c r="BV257" s="630">
        <f t="shared" si="184"/>
        <v>47.252126742000002</v>
      </c>
      <c r="BW257" s="630">
        <f t="shared" si="184"/>
        <v>46.693041493000003</v>
      </c>
      <c r="BX257" s="630">
        <f t="shared" si="184"/>
        <v>46.137669813999999</v>
      </c>
      <c r="BY257" s="630">
        <f t="shared" si="184"/>
        <v>45.605202559000006</v>
      </c>
      <c r="BZ257" s="630">
        <f t="shared" si="184"/>
        <v>45.073973935000005</v>
      </c>
      <c r="CA257" s="630">
        <f t="shared" si="184"/>
        <v>44.565932723000003</v>
      </c>
      <c r="CB257" s="630">
        <f t="shared" si="184"/>
        <v>44.06089575</v>
      </c>
      <c r="CC257" s="630">
        <f t="shared" si="184"/>
        <v>43.580585278999997</v>
      </c>
      <c r="CD257" s="630">
        <f t="shared" si="184"/>
        <v>43.102313522999999</v>
      </c>
      <c r="CE257" s="630">
        <f t="shared" si="184"/>
        <v>42.645964431000003</v>
      </c>
      <c r="CF257" s="630">
        <f t="shared" si="184"/>
        <v>42.191903523000001</v>
      </c>
      <c r="CG257" s="630">
        <f t="shared" si="184"/>
        <v>41.761768748000001</v>
      </c>
      <c r="CH257" s="630">
        <f t="shared" si="184"/>
        <v>41.334625420000002</v>
      </c>
      <c r="CI257" s="630">
        <f t="shared" si="184"/>
        <v>40.92953488700001</v>
      </c>
      <c r="CJ257" s="1410"/>
      <c r="CK257" s="605"/>
    </row>
    <row r="258" spans="1:89" s="1621" customFormat="1" x14ac:dyDescent="0.35">
      <c r="A258" s="1618"/>
      <c r="B258" s="899" t="s">
        <v>433</v>
      </c>
      <c r="C258" s="900" t="s">
        <v>434</v>
      </c>
      <c r="D258" s="901" t="s">
        <v>82</v>
      </c>
      <c r="E258" s="951" t="s">
        <v>398</v>
      </c>
      <c r="F258" s="952">
        <v>2</v>
      </c>
      <c r="G258" s="666">
        <v>21.454731398820876</v>
      </c>
      <c r="H258" s="666">
        <v>21.454731398820876</v>
      </c>
      <c r="I258" s="666">
        <v>21.454731398820876</v>
      </c>
      <c r="J258" s="666">
        <v>21.454731398820876</v>
      </c>
      <c r="K258" s="666">
        <v>21.562064515352247</v>
      </c>
      <c r="L258" s="666">
        <v>21.662525824785231</v>
      </c>
      <c r="M258" s="667">
        <v>21.754975000619886</v>
      </c>
      <c r="N258" s="667">
        <v>21.828702419519423</v>
      </c>
      <c r="O258" s="667">
        <v>21.949910676240922</v>
      </c>
      <c r="P258" s="667">
        <v>22.069834638833999</v>
      </c>
      <c r="Q258" s="667">
        <v>22.188175112962721</v>
      </c>
      <c r="R258" s="667">
        <v>22.303603692293166</v>
      </c>
      <c r="S258" s="667">
        <v>22.411287964105604</v>
      </c>
      <c r="T258" s="667">
        <v>22.589103701829909</v>
      </c>
      <c r="U258" s="667">
        <v>22.719451670885086</v>
      </c>
      <c r="V258" s="667">
        <v>22.832256766557691</v>
      </c>
      <c r="W258" s="667">
        <v>22.920876761674879</v>
      </c>
      <c r="X258" s="667">
        <v>23.000280903100968</v>
      </c>
      <c r="Y258" s="667">
        <v>23.076595118761063</v>
      </c>
      <c r="Z258" s="667">
        <v>23.153694403886796</v>
      </c>
      <c r="AA258" s="667">
        <v>23.238798850297929</v>
      </c>
      <c r="AB258" s="667">
        <v>23.321403010606765</v>
      </c>
      <c r="AC258" s="667">
        <v>23.410032223939893</v>
      </c>
      <c r="AD258" s="667">
        <v>23.511650136232376</v>
      </c>
      <c r="AE258" s="667">
        <v>23.62581652188301</v>
      </c>
      <c r="AF258" s="667">
        <v>23.747162997484207</v>
      </c>
      <c r="AG258" s="667">
        <v>23.872536496400834</v>
      </c>
      <c r="AH258" s="667">
        <v>24.012559724092483</v>
      </c>
      <c r="AI258" s="667">
        <v>24.164656998872758</v>
      </c>
      <c r="AJ258" s="667">
        <v>24.314333844423295</v>
      </c>
      <c r="AK258" s="667">
        <v>24.465158190965653</v>
      </c>
      <c r="AL258" s="667">
        <v>24.606392518281936</v>
      </c>
      <c r="AM258" s="667">
        <v>24.585693319624902</v>
      </c>
      <c r="AN258" s="667">
        <v>24.6942370763729</v>
      </c>
      <c r="AO258" s="667">
        <v>24.802780833120998</v>
      </c>
      <c r="AP258" s="667">
        <v>24.911324589869096</v>
      </c>
      <c r="AQ258" s="667">
        <v>25.019868346617098</v>
      </c>
      <c r="AR258" s="667">
        <v>25.1284121033652</v>
      </c>
      <c r="AS258" s="667">
        <v>25.236955860113298</v>
      </c>
      <c r="AT258" s="667">
        <v>25.3454996168613</v>
      </c>
      <c r="AU258" s="667">
        <v>25.454043373609398</v>
      </c>
      <c r="AV258" s="667">
        <v>25.5625871303575</v>
      </c>
      <c r="AW258" s="667">
        <v>25.671130887105502</v>
      </c>
      <c r="AX258" s="667">
        <v>25.7796746438536</v>
      </c>
      <c r="AY258" s="667">
        <v>25.888218400601701</v>
      </c>
      <c r="AZ258" s="667">
        <v>25.9967621573497</v>
      </c>
      <c r="BA258" s="667">
        <v>26.105305914097801</v>
      </c>
      <c r="BB258" s="667">
        <v>26.213849670845899</v>
      </c>
      <c r="BC258" s="667">
        <v>26.322393427594001</v>
      </c>
      <c r="BD258" s="667">
        <v>26.430937184342</v>
      </c>
      <c r="BE258" s="667">
        <v>26.539480941090098</v>
      </c>
      <c r="BF258" s="667">
        <v>26.648024697838199</v>
      </c>
      <c r="BG258" s="667">
        <v>26.756568454586198</v>
      </c>
      <c r="BH258" s="667">
        <v>26.865112211334299</v>
      </c>
      <c r="BI258" s="667">
        <v>26.973655968082397</v>
      </c>
      <c r="BJ258" s="667">
        <v>27.082199724830399</v>
      </c>
      <c r="BK258" s="667">
        <v>27.190743481578501</v>
      </c>
      <c r="BL258" s="667">
        <v>27.299287238326599</v>
      </c>
      <c r="BM258" s="667">
        <v>27.407830995074601</v>
      </c>
      <c r="BN258" s="667">
        <v>27.516374751822699</v>
      </c>
      <c r="BO258" s="667">
        <v>27.624918508570801</v>
      </c>
      <c r="BP258" s="667">
        <v>27.733462265318803</v>
      </c>
      <c r="BQ258" s="667">
        <v>27.842006022066901</v>
      </c>
      <c r="BR258" s="667">
        <v>27.950549778814999</v>
      </c>
      <c r="BS258" s="667">
        <v>28.059093535562997</v>
      </c>
      <c r="BT258" s="667">
        <v>28.167637292311099</v>
      </c>
      <c r="BU258" s="667">
        <v>28.276181049059197</v>
      </c>
      <c r="BV258" s="667">
        <v>28.384724805807203</v>
      </c>
      <c r="BW258" s="667">
        <v>28.493268562555301</v>
      </c>
      <c r="BX258" s="667">
        <v>28.601812319303399</v>
      </c>
      <c r="BY258" s="667">
        <v>28.710356076051397</v>
      </c>
      <c r="BZ258" s="667">
        <v>28.818899832799502</v>
      </c>
      <c r="CA258" s="667">
        <v>28.9274435895476</v>
      </c>
      <c r="CB258" s="667">
        <v>29.035987346295698</v>
      </c>
      <c r="CC258" s="667">
        <v>29.144531103043697</v>
      </c>
      <c r="CD258" s="667">
        <v>29.253074859791802</v>
      </c>
      <c r="CE258" s="667">
        <v>29.3616186165399</v>
      </c>
      <c r="CF258" s="667">
        <v>29.470162373287899</v>
      </c>
      <c r="CG258" s="667">
        <v>29.578706130035997</v>
      </c>
      <c r="CH258" s="667">
        <v>29.687249886784095</v>
      </c>
      <c r="CI258" s="668">
        <v>29.7957936435321</v>
      </c>
      <c r="CJ258" s="1619">
        <v>29.904337400280198</v>
      </c>
      <c r="CK258" s="1620"/>
    </row>
    <row r="259" spans="1:89" s="1621" customFormat="1" x14ac:dyDescent="0.35">
      <c r="A259" s="1618"/>
      <c r="B259" s="909" t="s">
        <v>435</v>
      </c>
      <c r="C259" s="910" t="s">
        <v>436</v>
      </c>
      <c r="D259" s="906" t="s">
        <v>82</v>
      </c>
      <c r="E259" s="953" t="s">
        <v>398</v>
      </c>
      <c r="F259" s="954">
        <v>2</v>
      </c>
      <c r="G259" s="670">
        <v>3.89</v>
      </c>
      <c r="H259" s="670">
        <v>3.89</v>
      </c>
      <c r="I259" s="670">
        <v>3.89</v>
      </c>
      <c r="J259" s="670">
        <v>3.89</v>
      </c>
      <c r="K259" s="670">
        <v>3.89</v>
      </c>
      <c r="L259" s="670">
        <v>3.89</v>
      </c>
      <c r="M259" s="671">
        <v>3.89</v>
      </c>
      <c r="N259" s="671">
        <v>3.89</v>
      </c>
      <c r="O259" s="671">
        <v>3.89</v>
      </c>
      <c r="P259" s="671">
        <v>3.89</v>
      </c>
      <c r="Q259" s="671">
        <v>3.89</v>
      </c>
      <c r="R259" s="671">
        <v>3.89</v>
      </c>
      <c r="S259" s="671">
        <v>3.89</v>
      </c>
      <c r="T259" s="671">
        <v>3.89</v>
      </c>
      <c r="U259" s="671">
        <v>3.89</v>
      </c>
      <c r="V259" s="671">
        <v>3.89</v>
      </c>
      <c r="W259" s="671">
        <v>3.89</v>
      </c>
      <c r="X259" s="671">
        <v>3.89</v>
      </c>
      <c r="Y259" s="671">
        <v>3.89</v>
      </c>
      <c r="Z259" s="671">
        <v>3.89</v>
      </c>
      <c r="AA259" s="671">
        <v>3.89</v>
      </c>
      <c r="AB259" s="671">
        <v>3.89</v>
      </c>
      <c r="AC259" s="671">
        <v>3.89</v>
      </c>
      <c r="AD259" s="671">
        <v>3.89</v>
      </c>
      <c r="AE259" s="671">
        <v>3.89</v>
      </c>
      <c r="AF259" s="671">
        <v>3.89</v>
      </c>
      <c r="AG259" s="671">
        <v>3.89</v>
      </c>
      <c r="AH259" s="671">
        <v>3.89</v>
      </c>
      <c r="AI259" s="671">
        <v>3.89</v>
      </c>
      <c r="AJ259" s="671">
        <v>3.89</v>
      </c>
      <c r="AK259" s="671">
        <v>3.89</v>
      </c>
      <c r="AL259" s="671">
        <v>3.89</v>
      </c>
      <c r="AM259" s="671">
        <v>3.89</v>
      </c>
      <c r="AN259" s="671">
        <v>3.89</v>
      </c>
      <c r="AO259" s="671">
        <v>3.89</v>
      </c>
      <c r="AP259" s="671">
        <v>3.89</v>
      </c>
      <c r="AQ259" s="671">
        <v>3.89</v>
      </c>
      <c r="AR259" s="671">
        <v>3.89</v>
      </c>
      <c r="AS259" s="671">
        <v>3.89</v>
      </c>
      <c r="AT259" s="671">
        <v>3.89</v>
      </c>
      <c r="AU259" s="671">
        <v>3.89</v>
      </c>
      <c r="AV259" s="671">
        <v>3.89</v>
      </c>
      <c r="AW259" s="671">
        <v>3.89</v>
      </c>
      <c r="AX259" s="671">
        <v>3.89</v>
      </c>
      <c r="AY259" s="671">
        <v>3.89</v>
      </c>
      <c r="AZ259" s="671">
        <v>3.89</v>
      </c>
      <c r="BA259" s="671">
        <v>3.89</v>
      </c>
      <c r="BB259" s="671">
        <v>3.89</v>
      </c>
      <c r="BC259" s="671">
        <v>3.89</v>
      </c>
      <c r="BD259" s="671">
        <v>3.89</v>
      </c>
      <c r="BE259" s="671">
        <v>3.89</v>
      </c>
      <c r="BF259" s="671">
        <v>3.89</v>
      </c>
      <c r="BG259" s="671">
        <v>3.89</v>
      </c>
      <c r="BH259" s="671">
        <v>3.89</v>
      </c>
      <c r="BI259" s="671">
        <v>3.89</v>
      </c>
      <c r="BJ259" s="671">
        <v>3.89</v>
      </c>
      <c r="BK259" s="671">
        <v>3.89</v>
      </c>
      <c r="BL259" s="671">
        <v>3.89</v>
      </c>
      <c r="BM259" s="671">
        <v>3.89</v>
      </c>
      <c r="BN259" s="671">
        <v>3.89</v>
      </c>
      <c r="BO259" s="671">
        <v>3.89</v>
      </c>
      <c r="BP259" s="671">
        <v>3.89</v>
      </c>
      <c r="BQ259" s="671">
        <v>3.89</v>
      </c>
      <c r="BR259" s="671">
        <v>3.89</v>
      </c>
      <c r="BS259" s="671">
        <v>3.89</v>
      </c>
      <c r="BT259" s="671">
        <v>3.89</v>
      </c>
      <c r="BU259" s="671">
        <v>3.89</v>
      </c>
      <c r="BV259" s="671">
        <v>3.89</v>
      </c>
      <c r="BW259" s="671">
        <v>3.89</v>
      </c>
      <c r="BX259" s="671">
        <v>3.89</v>
      </c>
      <c r="BY259" s="671">
        <v>3.89</v>
      </c>
      <c r="BZ259" s="671">
        <v>3.89</v>
      </c>
      <c r="CA259" s="671">
        <v>3.89</v>
      </c>
      <c r="CB259" s="671">
        <v>3.89</v>
      </c>
      <c r="CC259" s="671">
        <v>3.89</v>
      </c>
      <c r="CD259" s="671">
        <v>3.89</v>
      </c>
      <c r="CE259" s="671">
        <v>3.89</v>
      </c>
      <c r="CF259" s="671">
        <v>3.89</v>
      </c>
      <c r="CG259" s="671">
        <v>3.89</v>
      </c>
      <c r="CH259" s="671">
        <v>3.89</v>
      </c>
      <c r="CI259" s="672">
        <v>3.89</v>
      </c>
      <c r="CJ259" s="1619">
        <v>3.89</v>
      </c>
      <c r="CK259" s="1620"/>
    </row>
    <row r="260" spans="1:89" s="1621" customFormat="1" x14ac:dyDescent="0.35">
      <c r="A260" s="1618"/>
      <c r="B260" s="904" t="s">
        <v>437</v>
      </c>
      <c r="C260" s="955" t="s">
        <v>438</v>
      </c>
      <c r="D260" s="906" t="s">
        <v>82</v>
      </c>
      <c r="E260" s="953" t="s">
        <v>398</v>
      </c>
      <c r="F260" s="954">
        <v>2</v>
      </c>
      <c r="G260" s="670">
        <v>230.19824350000002</v>
      </c>
      <c r="H260" s="670">
        <v>236.88780679999999</v>
      </c>
      <c r="I260" s="670">
        <v>244.7</v>
      </c>
      <c r="J260" s="670">
        <v>255.6014098</v>
      </c>
      <c r="K260" s="670">
        <v>264.71380589999995</v>
      </c>
      <c r="L260" s="670">
        <v>273.86312050000004</v>
      </c>
      <c r="M260" s="671">
        <v>283.37343099999998</v>
      </c>
      <c r="N260" s="671">
        <v>291.09339629999999</v>
      </c>
      <c r="O260" s="671">
        <v>299.931376</v>
      </c>
      <c r="P260" s="671">
        <v>308.48378480000002</v>
      </c>
      <c r="Q260" s="671">
        <v>316.1219175</v>
      </c>
      <c r="R260" s="671">
        <v>323.52383000000003</v>
      </c>
      <c r="S260" s="671">
        <v>329.73889299999996</v>
      </c>
      <c r="T260" s="671">
        <v>335.01167369999996</v>
      </c>
      <c r="U260" s="671">
        <v>340.35944309999996</v>
      </c>
      <c r="V260" s="671">
        <v>345.81635990000001</v>
      </c>
      <c r="W260" s="671">
        <v>350.73772730000002</v>
      </c>
      <c r="X260" s="671">
        <v>355.21205699999996</v>
      </c>
      <c r="Y260" s="671">
        <v>359.4033445</v>
      </c>
      <c r="Z260" s="671">
        <v>363.73123570000001</v>
      </c>
      <c r="AA260" s="671">
        <v>367.74180389999998</v>
      </c>
      <c r="AB260" s="671">
        <v>371.73488760000004</v>
      </c>
      <c r="AC260" s="671">
        <v>375.62271290000001</v>
      </c>
      <c r="AD260" s="671">
        <v>379.39396769999996</v>
      </c>
      <c r="AE260" s="671">
        <v>383.0941181</v>
      </c>
      <c r="AF260" s="671">
        <v>386.6266885</v>
      </c>
      <c r="AG260" s="671">
        <v>389.9253496</v>
      </c>
      <c r="AH260" s="671">
        <v>393.04922850000003</v>
      </c>
      <c r="AI260" s="671">
        <v>396.08558270000003</v>
      </c>
      <c r="AJ260" s="671">
        <v>398.98915679999999</v>
      </c>
      <c r="AK260" s="671">
        <v>401.70492280000002</v>
      </c>
      <c r="AL260" s="671">
        <v>403.24168310000005</v>
      </c>
      <c r="AM260" s="671">
        <v>404.72904920000002</v>
      </c>
      <c r="AN260" s="671">
        <v>406.17820949999998</v>
      </c>
      <c r="AO260" s="671">
        <v>407.57057429999998</v>
      </c>
      <c r="AP260" s="671">
        <v>408.93303689999999</v>
      </c>
      <c r="AQ260" s="671">
        <v>410.24329299999999</v>
      </c>
      <c r="AR260" s="671">
        <v>411.52987769999999</v>
      </c>
      <c r="AS260" s="671">
        <v>412.76224550000001</v>
      </c>
      <c r="AT260" s="671">
        <v>413.93817780000001</v>
      </c>
      <c r="AU260" s="671">
        <v>415.08224630000001</v>
      </c>
      <c r="AV260" s="671">
        <v>416.1779439</v>
      </c>
      <c r="AW260" s="671">
        <v>417.24360359999997</v>
      </c>
      <c r="AX260" s="671">
        <v>418.27877409999996</v>
      </c>
      <c r="AY260" s="671">
        <v>419.2713114</v>
      </c>
      <c r="AZ260" s="671">
        <v>420.23854879999999</v>
      </c>
      <c r="BA260" s="671">
        <v>421.18600050000003</v>
      </c>
      <c r="BB260" s="671">
        <v>422.12878169999999</v>
      </c>
      <c r="BC260" s="671">
        <v>423.05429599999997</v>
      </c>
      <c r="BD260" s="671">
        <v>423.9748616</v>
      </c>
      <c r="BE260" s="671">
        <v>424.88393669999999</v>
      </c>
      <c r="BF260" s="671">
        <v>425.78475429999997</v>
      </c>
      <c r="BG260" s="671">
        <v>426.69947880000001</v>
      </c>
      <c r="BH260" s="671">
        <v>427.62044559999998</v>
      </c>
      <c r="BI260" s="671">
        <v>428.55697079999999</v>
      </c>
      <c r="BJ260" s="671">
        <v>429.50200160000003</v>
      </c>
      <c r="BK260" s="671">
        <v>430.45032929999996</v>
      </c>
      <c r="BL260" s="671">
        <v>431.41453759999996</v>
      </c>
      <c r="BM260" s="671">
        <v>432.3978027</v>
      </c>
      <c r="BN260" s="671">
        <v>433.3993777</v>
      </c>
      <c r="BO260" s="671">
        <v>434.41796820000002</v>
      </c>
      <c r="BP260" s="671">
        <v>435.44997899999998</v>
      </c>
      <c r="BQ260" s="671">
        <v>436.49494040000002</v>
      </c>
      <c r="BR260" s="671">
        <v>437.5541882</v>
      </c>
      <c r="BS260" s="671">
        <v>438.61611979999998</v>
      </c>
      <c r="BT260" s="671">
        <v>439.68300339999996</v>
      </c>
      <c r="BU260" s="671">
        <v>440.74731270000001</v>
      </c>
      <c r="BV260" s="671">
        <v>441.81652589999999</v>
      </c>
      <c r="BW260" s="671">
        <v>442.8739708</v>
      </c>
      <c r="BX260" s="671">
        <v>443.92365970000003</v>
      </c>
      <c r="BY260" s="671">
        <v>444.96169479999998</v>
      </c>
      <c r="BZ260" s="671">
        <v>445.98427679999998</v>
      </c>
      <c r="CA260" s="671">
        <v>446.99362920000004</v>
      </c>
      <c r="CB260" s="671">
        <v>447.99250990000002</v>
      </c>
      <c r="CC260" s="671">
        <v>448.9781352</v>
      </c>
      <c r="CD260" s="671">
        <v>449.94868349999996</v>
      </c>
      <c r="CE260" s="671">
        <v>450.89372070000002</v>
      </c>
      <c r="CF260" s="671">
        <v>451.81747200000001</v>
      </c>
      <c r="CG260" s="671">
        <v>452.7256721</v>
      </c>
      <c r="CH260" s="671">
        <v>453.61940220000002</v>
      </c>
      <c r="CI260" s="672">
        <v>454.48921940000002</v>
      </c>
      <c r="CJ260" s="1619"/>
      <c r="CK260" s="1620"/>
    </row>
    <row r="261" spans="1:89" s="1621" customFormat="1" x14ac:dyDescent="0.35">
      <c r="A261" s="1618"/>
      <c r="B261" s="904" t="s">
        <v>439</v>
      </c>
      <c r="C261" s="955" t="s">
        <v>440</v>
      </c>
      <c r="D261" s="906" t="s">
        <v>82</v>
      </c>
      <c r="E261" s="953" t="s">
        <v>398</v>
      </c>
      <c r="F261" s="954">
        <v>2</v>
      </c>
      <c r="G261" s="670">
        <v>96.723756460000004</v>
      </c>
      <c r="H261" s="670">
        <v>95.109690570000012</v>
      </c>
      <c r="I261" s="670">
        <v>95.680999999999997</v>
      </c>
      <c r="J261" s="670">
        <v>94.439377660000005</v>
      </c>
      <c r="K261" s="670">
        <v>92.843784329999991</v>
      </c>
      <c r="L261" s="670">
        <v>91.256070410000007</v>
      </c>
      <c r="M261" s="671">
        <v>89.64628227</v>
      </c>
      <c r="N261" s="671">
        <v>87.93630847</v>
      </c>
      <c r="O261" s="671">
        <v>86.249672500000003</v>
      </c>
      <c r="P261" s="671">
        <v>84.578246889999988</v>
      </c>
      <c r="Q261" s="671">
        <v>82.874333799999988</v>
      </c>
      <c r="R261" s="671">
        <v>81.181187600000001</v>
      </c>
      <c r="S261" s="671">
        <v>79.42761007</v>
      </c>
      <c r="T261" s="671">
        <v>77.670540590000002</v>
      </c>
      <c r="U261" s="671">
        <v>75.967221289999998</v>
      </c>
      <c r="V261" s="671">
        <v>74.321009849999996</v>
      </c>
      <c r="W261" s="671">
        <v>72.67073259</v>
      </c>
      <c r="X261" s="671">
        <v>70.9977272</v>
      </c>
      <c r="Y261" s="671">
        <v>69.375691570000001</v>
      </c>
      <c r="Z261" s="671">
        <v>67.834490880000004</v>
      </c>
      <c r="AA261" s="671">
        <v>66.285761989999997</v>
      </c>
      <c r="AB261" s="671">
        <v>64.776952260000002</v>
      </c>
      <c r="AC261" s="671">
        <v>63.320781589999996</v>
      </c>
      <c r="AD261" s="671">
        <v>61.91197056</v>
      </c>
      <c r="AE261" s="671">
        <v>60.553965929999997</v>
      </c>
      <c r="AF261" s="671">
        <v>59.230607649999996</v>
      </c>
      <c r="AG261" s="671">
        <v>57.92909375</v>
      </c>
      <c r="AH261" s="671">
        <v>56.659373339999995</v>
      </c>
      <c r="AI261" s="671">
        <v>55.430867810000002</v>
      </c>
      <c r="AJ261" s="671">
        <v>54.236248850000003</v>
      </c>
      <c r="AK261" s="671">
        <v>53.066983970000003</v>
      </c>
      <c r="AL261" s="671">
        <v>51.959438609999999</v>
      </c>
      <c r="AM261" s="671">
        <v>50.885203410000003</v>
      </c>
      <c r="AN261" s="671">
        <v>49.837480020000001</v>
      </c>
      <c r="AO261" s="671">
        <v>48.815038520000002</v>
      </c>
      <c r="AP261" s="671">
        <v>47.814014</v>
      </c>
      <c r="AQ261" s="671">
        <v>46.82918574</v>
      </c>
      <c r="AR261" s="671">
        <v>45.871547020000001</v>
      </c>
      <c r="AS261" s="671">
        <v>44.946438210000004</v>
      </c>
      <c r="AT261" s="671">
        <v>44.047895850000003</v>
      </c>
      <c r="AU261" s="671">
        <v>43.16944719</v>
      </c>
      <c r="AV261" s="671">
        <v>42.312148469999997</v>
      </c>
      <c r="AW261" s="671">
        <v>41.477724869999996</v>
      </c>
      <c r="AX261" s="671">
        <v>40.663332260000004</v>
      </c>
      <c r="AY261" s="671">
        <v>39.865447119999999</v>
      </c>
      <c r="AZ261" s="671">
        <v>39.084248649999999</v>
      </c>
      <c r="BA261" s="671">
        <v>38.320130499999998</v>
      </c>
      <c r="BB261" s="671">
        <v>37.57751554</v>
      </c>
      <c r="BC261" s="671">
        <v>36.856098510000002</v>
      </c>
      <c r="BD261" s="671">
        <v>36.152948340000002</v>
      </c>
      <c r="BE261" s="671">
        <v>35.467414329999997</v>
      </c>
      <c r="BF261" s="671">
        <v>34.798882849999998</v>
      </c>
      <c r="BG261" s="671">
        <v>34.148089970000001</v>
      </c>
      <c r="BH261" s="671">
        <v>33.51353993</v>
      </c>
      <c r="BI261" s="671">
        <v>32.896430869999996</v>
      </c>
      <c r="BJ261" s="671">
        <v>32.29732783</v>
      </c>
      <c r="BK261" s="671">
        <v>31.713321130000001</v>
      </c>
      <c r="BL261" s="671">
        <v>31.147153630000002</v>
      </c>
      <c r="BM261" s="671">
        <v>30.597097989999998</v>
      </c>
      <c r="BN261" s="671">
        <v>30.06011015</v>
      </c>
      <c r="BO261" s="671">
        <v>29.536747940000001</v>
      </c>
      <c r="BP261" s="671">
        <v>29.023531630000001</v>
      </c>
      <c r="BQ261" s="671">
        <v>28.521660430000001</v>
      </c>
      <c r="BR261" s="671">
        <v>28.031117149999996</v>
      </c>
      <c r="BS261" s="671">
        <v>27.553301139999999</v>
      </c>
      <c r="BT261" s="671">
        <v>27.086964820000002</v>
      </c>
      <c r="BU261" s="671">
        <v>26.63092653</v>
      </c>
      <c r="BV261" s="671">
        <v>26.185252850000001</v>
      </c>
      <c r="BW261" s="671">
        <v>25.750517290000001</v>
      </c>
      <c r="BX261" s="671">
        <v>25.325439360000001</v>
      </c>
      <c r="BY261" s="671">
        <v>24.909310010000002</v>
      </c>
      <c r="BZ261" s="671">
        <v>24.50056107</v>
      </c>
      <c r="CA261" s="671">
        <v>24.101236540000002</v>
      </c>
      <c r="CB261" s="671">
        <v>23.711246110000001</v>
      </c>
      <c r="CC261" s="671">
        <v>23.33240262</v>
      </c>
      <c r="CD261" s="671">
        <v>22.96210662</v>
      </c>
      <c r="CE261" s="671">
        <v>22.600328219999998</v>
      </c>
      <c r="CF261" s="671">
        <v>22.24751697</v>
      </c>
      <c r="CG261" s="671">
        <v>21.90539278</v>
      </c>
      <c r="CH261" s="671">
        <v>21.5731009</v>
      </c>
      <c r="CI261" s="672">
        <v>21.249780640000001</v>
      </c>
      <c r="CJ261" s="1619"/>
      <c r="CK261" s="1620"/>
    </row>
    <row r="262" spans="1:89" s="64" customFormat="1" x14ac:dyDescent="0.35">
      <c r="A262" s="58"/>
      <c r="B262" s="956" t="s">
        <v>441</v>
      </c>
      <c r="C262" s="955" t="s">
        <v>442</v>
      </c>
      <c r="D262" s="957" t="s">
        <v>443</v>
      </c>
      <c r="E262" s="953" t="s">
        <v>398</v>
      </c>
      <c r="F262" s="954">
        <v>2</v>
      </c>
      <c r="G262" s="618">
        <f>SUM(G258:G261)</f>
        <v>352.26673135882089</v>
      </c>
      <c r="H262" s="618">
        <f t="shared" ref="H262:BS262" si="185">SUM(H258:H261)</f>
        <v>357.34222876882086</v>
      </c>
      <c r="I262" s="618">
        <f t="shared" si="185"/>
        <v>365.72573139882087</v>
      </c>
      <c r="J262" s="618">
        <f t="shared" si="185"/>
        <v>375.38551885882089</v>
      </c>
      <c r="K262" s="618">
        <f t="shared" si="185"/>
        <v>383.00965474535218</v>
      </c>
      <c r="L262" s="618">
        <f t="shared" si="185"/>
        <v>390.67171673478526</v>
      </c>
      <c r="M262" s="623">
        <f t="shared" si="185"/>
        <v>398.66468827061988</v>
      </c>
      <c r="N262" s="623">
        <f t="shared" si="185"/>
        <v>404.74840718951941</v>
      </c>
      <c r="O262" s="623">
        <f t="shared" si="185"/>
        <v>412.02095917624092</v>
      </c>
      <c r="P262" s="623">
        <f t="shared" si="185"/>
        <v>419.02186632883405</v>
      </c>
      <c r="Q262" s="623">
        <f t="shared" si="185"/>
        <v>425.07442641296268</v>
      </c>
      <c r="R262" s="623">
        <f t="shared" si="185"/>
        <v>430.89862129229317</v>
      </c>
      <c r="S262" s="623">
        <f t="shared" si="185"/>
        <v>435.46779103410557</v>
      </c>
      <c r="T262" s="623">
        <f t="shared" si="185"/>
        <v>439.16131799182983</v>
      </c>
      <c r="U262" s="623">
        <f t="shared" si="185"/>
        <v>442.93611606088507</v>
      </c>
      <c r="V262" s="623">
        <f t="shared" si="185"/>
        <v>446.85962651655768</v>
      </c>
      <c r="W262" s="623">
        <f t="shared" si="185"/>
        <v>450.21933665167489</v>
      </c>
      <c r="X262" s="623">
        <f t="shared" si="185"/>
        <v>453.10006510310092</v>
      </c>
      <c r="Y262" s="623">
        <f t="shared" si="185"/>
        <v>455.74563118876108</v>
      </c>
      <c r="Z262" s="623">
        <f t="shared" si="185"/>
        <v>458.60942098388682</v>
      </c>
      <c r="AA262" s="623">
        <f t="shared" si="185"/>
        <v>461.15636474029793</v>
      </c>
      <c r="AB262" s="623">
        <f t="shared" si="185"/>
        <v>463.72324287060678</v>
      </c>
      <c r="AC262" s="623">
        <f t="shared" si="185"/>
        <v>466.2435267139399</v>
      </c>
      <c r="AD262" s="623">
        <f t="shared" si="185"/>
        <v>468.70758839623232</v>
      </c>
      <c r="AE262" s="623">
        <f t="shared" si="185"/>
        <v>471.16390055188299</v>
      </c>
      <c r="AF262" s="623">
        <f t="shared" si="185"/>
        <v>473.49445914748424</v>
      </c>
      <c r="AG262" s="623">
        <f t="shared" si="185"/>
        <v>475.61697984640085</v>
      </c>
      <c r="AH262" s="623">
        <f t="shared" si="185"/>
        <v>477.61116156409253</v>
      </c>
      <c r="AI262" s="623">
        <f t="shared" si="185"/>
        <v>479.57110750887279</v>
      </c>
      <c r="AJ262" s="623">
        <f t="shared" si="185"/>
        <v>481.42973949442325</v>
      </c>
      <c r="AK262" s="623">
        <f t="shared" si="185"/>
        <v>483.1270649609657</v>
      </c>
      <c r="AL262" s="623">
        <f t="shared" si="185"/>
        <v>483.69751422828199</v>
      </c>
      <c r="AM262" s="623">
        <f t="shared" si="185"/>
        <v>484.08994592962495</v>
      </c>
      <c r="AN262" s="623">
        <f t="shared" si="185"/>
        <v>484.59992659637288</v>
      </c>
      <c r="AO262" s="623">
        <f t="shared" si="185"/>
        <v>485.078393653121</v>
      </c>
      <c r="AP262" s="623">
        <f t="shared" si="185"/>
        <v>485.5483754898691</v>
      </c>
      <c r="AQ262" s="623">
        <f t="shared" si="185"/>
        <v>485.9823470866171</v>
      </c>
      <c r="AR262" s="623">
        <f t="shared" si="185"/>
        <v>486.41983682336519</v>
      </c>
      <c r="AS262" s="623">
        <f t="shared" si="185"/>
        <v>486.8356395701133</v>
      </c>
      <c r="AT262" s="623">
        <f t="shared" si="185"/>
        <v>487.22157326686136</v>
      </c>
      <c r="AU262" s="623">
        <f t="shared" si="185"/>
        <v>487.59573686360943</v>
      </c>
      <c r="AV262" s="623">
        <f t="shared" si="185"/>
        <v>487.94267950035749</v>
      </c>
      <c r="AW262" s="623">
        <f t="shared" si="185"/>
        <v>488.28245935710544</v>
      </c>
      <c r="AX262" s="623">
        <f t="shared" si="185"/>
        <v>488.61178100385359</v>
      </c>
      <c r="AY262" s="623">
        <f t="shared" si="185"/>
        <v>488.9149769206017</v>
      </c>
      <c r="AZ262" s="623">
        <f t="shared" si="185"/>
        <v>489.20955960734972</v>
      </c>
      <c r="BA262" s="623">
        <f t="shared" si="185"/>
        <v>489.50143691409784</v>
      </c>
      <c r="BB262" s="623">
        <f t="shared" si="185"/>
        <v>489.81014691084584</v>
      </c>
      <c r="BC262" s="623">
        <f t="shared" si="185"/>
        <v>490.12278793759396</v>
      </c>
      <c r="BD262" s="623">
        <f t="shared" si="185"/>
        <v>490.44874712434199</v>
      </c>
      <c r="BE262" s="623">
        <f t="shared" si="185"/>
        <v>490.78083197109009</v>
      </c>
      <c r="BF262" s="623">
        <f t="shared" si="185"/>
        <v>491.12166184783814</v>
      </c>
      <c r="BG262" s="623">
        <f t="shared" si="185"/>
        <v>491.49413722458621</v>
      </c>
      <c r="BH262" s="623">
        <f t="shared" si="185"/>
        <v>491.88909774133424</v>
      </c>
      <c r="BI262" s="623">
        <f t="shared" si="185"/>
        <v>492.31705763808242</v>
      </c>
      <c r="BJ262" s="623">
        <f t="shared" si="185"/>
        <v>492.77152915483043</v>
      </c>
      <c r="BK262" s="623">
        <f t="shared" si="185"/>
        <v>493.24439391157847</v>
      </c>
      <c r="BL262" s="623">
        <f t="shared" si="185"/>
        <v>493.75097846832654</v>
      </c>
      <c r="BM262" s="623">
        <f t="shared" si="185"/>
        <v>494.29273168507461</v>
      </c>
      <c r="BN262" s="623">
        <f t="shared" si="185"/>
        <v>494.8658626018227</v>
      </c>
      <c r="BO262" s="623">
        <f t="shared" si="185"/>
        <v>495.46963464857083</v>
      </c>
      <c r="BP262" s="623">
        <f t="shared" si="185"/>
        <v>496.09697289531874</v>
      </c>
      <c r="BQ262" s="623">
        <f t="shared" si="185"/>
        <v>496.74860685206693</v>
      </c>
      <c r="BR262" s="623">
        <f t="shared" si="185"/>
        <v>497.42585512881499</v>
      </c>
      <c r="BS262" s="623">
        <f t="shared" si="185"/>
        <v>498.11851447556296</v>
      </c>
      <c r="BT262" s="623">
        <f t="shared" ref="BT262:CI262" si="186">SUM(BT258:BT261)</f>
        <v>498.82760551231104</v>
      </c>
      <c r="BU262" s="623">
        <f t="shared" si="186"/>
        <v>499.54442027905924</v>
      </c>
      <c r="BV262" s="623">
        <f t="shared" si="186"/>
        <v>500.27650355580715</v>
      </c>
      <c r="BW262" s="623">
        <f t="shared" si="186"/>
        <v>501.00775665255532</v>
      </c>
      <c r="BX262" s="623">
        <f t="shared" si="186"/>
        <v>501.74091137930344</v>
      </c>
      <c r="BY262" s="623">
        <f t="shared" si="186"/>
        <v>502.4713608860514</v>
      </c>
      <c r="BZ262" s="623">
        <f t="shared" si="186"/>
        <v>503.19373770279947</v>
      </c>
      <c r="CA262" s="623">
        <f t="shared" si="186"/>
        <v>503.91230932954767</v>
      </c>
      <c r="CB262" s="623">
        <f t="shared" si="186"/>
        <v>504.62974335629571</v>
      </c>
      <c r="CC262" s="623">
        <f t="shared" si="186"/>
        <v>505.3450689230437</v>
      </c>
      <c r="CD262" s="623">
        <f t="shared" si="186"/>
        <v>506.05386497979174</v>
      </c>
      <c r="CE262" s="623">
        <f t="shared" si="186"/>
        <v>506.74566753653988</v>
      </c>
      <c r="CF262" s="623">
        <f t="shared" si="186"/>
        <v>507.42515134328789</v>
      </c>
      <c r="CG262" s="623">
        <f t="shared" si="186"/>
        <v>508.09977101003602</v>
      </c>
      <c r="CH262" s="623">
        <f t="shared" si="186"/>
        <v>508.76975298678411</v>
      </c>
      <c r="CI262" s="619">
        <f t="shared" si="186"/>
        <v>509.42479368353213</v>
      </c>
      <c r="CJ262" s="1410"/>
      <c r="CK262" s="605"/>
    </row>
    <row r="263" spans="1:89" s="64" customFormat="1" ht="28" x14ac:dyDescent="0.35">
      <c r="A263" s="58"/>
      <c r="B263" s="956" t="s">
        <v>444</v>
      </c>
      <c r="C263" s="955" t="s">
        <v>445</v>
      </c>
      <c r="D263" s="957" t="s">
        <v>446</v>
      </c>
      <c r="E263" s="953" t="s">
        <v>447</v>
      </c>
      <c r="F263" s="954">
        <v>1</v>
      </c>
      <c r="G263" s="648">
        <f>(G261+G260)/(G247+G255)</f>
        <v>2.4878250792938061</v>
      </c>
      <c r="H263" s="648">
        <f t="shared" ref="H263:BS263" si="187">(H261+H260)/(H247+H255)</f>
        <v>2.5716107669211663</v>
      </c>
      <c r="I263" s="648">
        <f t="shared" si="187"/>
        <v>2.6281777901785754</v>
      </c>
      <c r="J263" s="648">
        <f t="shared" si="187"/>
        <v>2.7447794928819214</v>
      </c>
      <c r="K263" s="648">
        <f t="shared" si="187"/>
        <v>2.8557118069807603</v>
      </c>
      <c r="L263" s="648">
        <f t="shared" si="187"/>
        <v>2.9706817235975276</v>
      </c>
      <c r="M263" s="648">
        <f t="shared" si="187"/>
        <v>3.0931315339634033</v>
      </c>
      <c r="N263" s="648">
        <f t="shared" si="187"/>
        <v>3.2067711579139737</v>
      </c>
      <c r="O263" s="648">
        <f t="shared" si="187"/>
        <v>3.3338941908614017</v>
      </c>
      <c r="P263" s="648">
        <f t="shared" si="187"/>
        <v>3.4631854724323121</v>
      </c>
      <c r="Q263" s="648">
        <f t="shared" si="187"/>
        <v>3.5901837394001612</v>
      </c>
      <c r="R263" s="648">
        <f t="shared" si="187"/>
        <v>3.7200095369419972</v>
      </c>
      <c r="S263" s="648">
        <f t="shared" si="187"/>
        <v>3.8457909614947949</v>
      </c>
      <c r="T263" s="648">
        <f t="shared" si="187"/>
        <v>3.9682065555232882</v>
      </c>
      <c r="U263" s="648">
        <f t="shared" si="187"/>
        <v>4.0952028934427371</v>
      </c>
      <c r="V263" s="648">
        <f t="shared" si="187"/>
        <v>4.2270141371214782</v>
      </c>
      <c r="W263" s="648">
        <f t="shared" si="187"/>
        <v>4.3590868276692554</v>
      </c>
      <c r="X263" s="648">
        <f t="shared" si="187"/>
        <v>4.4929168886404254</v>
      </c>
      <c r="Y263" s="648">
        <f t="shared" si="187"/>
        <v>4.6274370955082222</v>
      </c>
      <c r="Z263" s="648">
        <f t="shared" si="187"/>
        <v>4.7658239722706002</v>
      </c>
      <c r="AA263" s="648">
        <f t="shared" si="187"/>
        <v>4.9067056857353384</v>
      </c>
      <c r="AB263" s="648">
        <f t="shared" si="187"/>
        <v>5.0515056537831153</v>
      </c>
      <c r="AC263" s="648">
        <f t="shared" si="187"/>
        <v>5.1985886031474822</v>
      </c>
      <c r="AD263" s="648">
        <f t="shared" si="187"/>
        <v>5.3479359956391441</v>
      </c>
      <c r="AE263" s="648">
        <f t="shared" si="187"/>
        <v>5.4997751842360438</v>
      </c>
      <c r="AF263" s="648">
        <f t="shared" si="187"/>
        <v>5.6536760939146733</v>
      </c>
      <c r="AG263" s="648">
        <f t="shared" si="187"/>
        <v>5.8094718070623435</v>
      </c>
      <c r="AH263" s="648">
        <f t="shared" si="187"/>
        <v>5.9672467846900235</v>
      </c>
      <c r="AI263" s="648">
        <f t="shared" si="187"/>
        <v>6.1274261458182027</v>
      </c>
      <c r="AJ263" s="648">
        <f t="shared" si="187"/>
        <v>6.2897616546161412</v>
      </c>
      <c r="AK263" s="648">
        <f t="shared" si="187"/>
        <v>6.4539970137773235</v>
      </c>
      <c r="AL263" s="648">
        <f t="shared" si="187"/>
        <v>6.6026896401333266</v>
      </c>
      <c r="AM263" s="648">
        <f t="shared" si="187"/>
        <v>6.7534955661016189</v>
      </c>
      <c r="AN263" s="648">
        <f t="shared" si="187"/>
        <v>6.9070624804964362</v>
      </c>
      <c r="AO263" s="648">
        <f t="shared" si="187"/>
        <v>7.0631696987295927</v>
      </c>
      <c r="AP263" s="648">
        <f t="shared" si="187"/>
        <v>7.2225604315707139</v>
      </c>
      <c r="AQ263" s="648">
        <f t="shared" si="187"/>
        <v>7.3854210882707862</v>
      </c>
      <c r="AR263" s="648">
        <f t="shared" si="187"/>
        <v>7.5510889900889078</v>
      </c>
      <c r="AS263" s="648">
        <f t="shared" si="187"/>
        <v>7.7183560501267738</v>
      </c>
      <c r="AT263" s="648">
        <f t="shared" si="187"/>
        <v>7.8876689013681061</v>
      </c>
      <c r="AU263" s="648">
        <f t="shared" si="187"/>
        <v>8.0601130002771022</v>
      </c>
      <c r="AV263" s="648">
        <f t="shared" si="187"/>
        <v>8.2352246815013501</v>
      </c>
      <c r="AW263" s="648">
        <f t="shared" si="187"/>
        <v>8.4130274602827271</v>
      </c>
      <c r="AX263" s="648">
        <f t="shared" si="187"/>
        <v>8.5938146234036736</v>
      </c>
      <c r="AY263" s="648">
        <f t="shared" si="187"/>
        <v>8.7778137865348373</v>
      </c>
      <c r="AZ263" s="648">
        <f t="shared" si="187"/>
        <v>8.9653150301762903</v>
      </c>
      <c r="BA263" s="648">
        <f t="shared" si="187"/>
        <v>9.1563523462349359</v>
      </c>
      <c r="BB263" s="648">
        <f t="shared" si="187"/>
        <v>9.3504589534952984</v>
      </c>
      <c r="BC263" s="648">
        <f t="shared" si="187"/>
        <v>9.5473120518609687</v>
      </c>
      <c r="BD263" s="648">
        <f t="shared" si="187"/>
        <v>9.7475728972402944</v>
      </c>
      <c r="BE263" s="648">
        <f t="shared" si="187"/>
        <v>9.9511512040708041</v>
      </c>
      <c r="BF263" s="648">
        <f t="shared" si="187"/>
        <v>10.158160194782244</v>
      </c>
      <c r="BG263" s="648">
        <f t="shared" si="187"/>
        <v>10.368866590571962</v>
      </c>
      <c r="BH263" s="648">
        <f t="shared" si="187"/>
        <v>10.58334139699955</v>
      </c>
      <c r="BI263" s="648">
        <f t="shared" si="187"/>
        <v>10.801460977730969</v>
      </c>
      <c r="BJ263" s="648">
        <f t="shared" si="187"/>
        <v>11.022817472270594</v>
      </c>
      <c r="BK263" s="648">
        <f t="shared" si="187"/>
        <v>11.247859972636697</v>
      </c>
      <c r="BL263" s="648">
        <f t="shared" si="187"/>
        <v>11.47610138976323</v>
      </c>
      <c r="BM263" s="648">
        <f t="shared" si="187"/>
        <v>11.707915969766399</v>
      </c>
      <c r="BN263" s="648">
        <f t="shared" si="187"/>
        <v>11.944009310575893</v>
      </c>
      <c r="BO263" s="648">
        <f t="shared" si="187"/>
        <v>12.184135162275931</v>
      </c>
      <c r="BP263" s="648">
        <f t="shared" si="187"/>
        <v>12.429177002556056</v>
      </c>
      <c r="BQ263" s="648">
        <f t="shared" si="187"/>
        <v>12.678764860777864</v>
      </c>
      <c r="BR263" s="648">
        <f t="shared" si="187"/>
        <v>12.932910379586707</v>
      </c>
      <c r="BS263" s="648">
        <f t="shared" si="187"/>
        <v>13.190761706961027</v>
      </c>
      <c r="BT263" s="648">
        <f t="shared" ref="BT263:CI263" si="188">(BT261+BT260)/(BT247+BT255)</f>
        <v>13.452701013906829</v>
      </c>
      <c r="BU263" s="648">
        <f t="shared" si="188"/>
        <v>13.718856537134057</v>
      </c>
      <c r="BV263" s="648">
        <f t="shared" si="188"/>
        <v>13.989358692852889</v>
      </c>
      <c r="BW263" s="648">
        <f t="shared" si="188"/>
        <v>14.263396629398375</v>
      </c>
      <c r="BX263" s="648">
        <f t="shared" si="188"/>
        <v>14.541490562646514</v>
      </c>
      <c r="BY263" s="648">
        <f t="shared" si="188"/>
        <v>14.823737329355781</v>
      </c>
      <c r="BZ263" s="648">
        <f t="shared" si="188"/>
        <v>15.110651070436798</v>
      </c>
      <c r="CA263" s="648">
        <f t="shared" si="188"/>
        <v>15.401330649121293</v>
      </c>
      <c r="CB263" s="648">
        <f t="shared" si="188"/>
        <v>15.695783858365795</v>
      </c>
      <c r="CC263" s="648">
        <f t="shared" si="188"/>
        <v>15.99286121949676</v>
      </c>
      <c r="CD263" s="648">
        <f t="shared" si="188"/>
        <v>16.293608107052968</v>
      </c>
      <c r="CE263" s="648">
        <f t="shared" si="188"/>
        <v>16.597540636494774</v>
      </c>
      <c r="CF263" s="648">
        <f t="shared" si="188"/>
        <v>16.904386672889498</v>
      </c>
      <c r="CG263" s="648">
        <f t="shared" si="188"/>
        <v>17.213137210865536</v>
      </c>
      <c r="CH263" s="648">
        <f t="shared" si="188"/>
        <v>17.524027999056234</v>
      </c>
      <c r="CI263" s="648">
        <f t="shared" si="188"/>
        <v>17.836956217764598</v>
      </c>
      <c r="CJ263" s="1410"/>
      <c r="CK263" s="605"/>
    </row>
    <row r="264" spans="1:89" s="64" customFormat="1" ht="28" x14ac:dyDescent="0.35">
      <c r="A264" s="58"/>
      <c r="B264" s="956" t="s">
        <v>448</v>
      </c>
      <c r="C264" s="955" t="s">
        <v>449</v>
      </c>
      <c r="D264" s="957" t="s">
        <v>450</v>
      </c>
      <c r="E264" s="953" t="s">
        <v>359</v>
      </c>
      <c r="F264" s="954">
        <v>1</v>
      </c>
      <c r="G264" s="690">
        <f>G247/(G247+G255)</f>
        <v>0.7360525969929721</v>
      </c>
      <c r="H264" s="690">
        <f t="shared" ref="H264:BS264" si="189">H247/(H247+H255)</f>
        <v>0.73670767474421861</v>
      </c>
      <c r="I264" s="690">
        <f t="shared" si="189"/>
        <v>0.73878001164012186</v>
      </c>
      <c r="J264" s="690">
        <f t="shared" si="189"/>
        <v>0.74052875095683024</v>
      </c>
      <c r="K264" s="690">
        <f t="shared" si="189"/>
        <v>0.7415171663546769</v>
      </c>
      <c r="L264" s="690">
        <f t="shared" si="189"/>
        <v>0.74247738076615943</v>
      </c>
      <c r="M264" s="691">
        <f t="shared" si="189"/>
        <v>0.74335948671756735</v>
      </c>
      <c r="N264" s="691">
        <f t="shared" si="189"/>
        <v>0.74398289681843899</v>
      </c>
      <c r="O264" s="691">
        <f t="shared" si="189"/>
        <v>0.74459190379314644</v>
      </c>
      <c r="P264" s="691">
        <f t="shared" si="189"/>
        <v>0.74520083930226455</v>
      </c>
      <c r="Q264" s="691">
        <f t="shared" si="189"/>
        <v>0.74570646880255831</v>
      </c>
      <c r="R264" s="691">
        <f t="shared" si="189"/>
        <v>0.74620965631506275</v>
      </c>
      <c r="S264" s="691">
        <f t="shared" si="189"/>
        <v>0.74654690109879474</v>
      </c>
      <c r="T264" s="691">
        <f t="shared" si="189"/>
        <v>0.74685251185477175</v>
      </c>
      <c r="U264" s="691">
        <f t="shared" si="189"/>
        <v>0.74725260484921574</v>
      </c>
      <c r="V264" s="691">
        <f t="shared" si="189"/>
        <v>0.74774581348960001</v>
      </c>
      <c r="W264" s="691">
        <f t="shared" si="189"/>
        <v>0.74816179457642784</v>
      </c>
      <c r="X264" s="691">
        <f t="shared" si="189"/>
        <v>0.74842694705075186</v>
      </c>
      <c r="Y264" s="691">
        <f t="shared" si="189"/>
        <v>0.74871115817599176</v>
      </c>
      <c r="Z264" s="691">
        <f t="shared" si="189"/>
        <v>0.74910314436831704</v>
      </c>
      <c r="AA264" s="691">
        <f t="shared" si="189"/>
        <v>0.74936421278380827</v>
      </c>
      <c r="AB264" s="691">
        <f t="shared" si="189"/>
        <v>0.74962718234899828</v>
      </c>
      <c r="AC264" s="691">
        <f t="shared" si="189"/>
        <v>0.7499340977786475</v>
      </c>
      <c r="AD264" s="691">
        <f t="shared" si="189"/>
        <v>0.75027600404439432</v>
      </c>
      <c r="AE264" s="691">
        <f t="shared" si="189"/>
        <v>0.75066975631606414</v>
      </c>
      <c r="AF264" s="691">
        <f t="shared" si="189"/>
        <v>0.75107141542926292</v>
      </c>
      <c r="AG264" s="691">
        <f t="shared" si="189"/>
        <v>0.75144378256462019</v>
      </c>
      <c r="AH264" s="691">
        <f t="shared" si="189"/>
        <v>0.75182120600387803</v>
      </c>
      <c r="AI264" s="691">
        <f t="shared" si="189"/>
        <v>0.75223958799451141</v>
      </c>
      <c r="AJ264" s="691">
        <f t="shared" si="189"/>
        <v>0.75267863198822171</v>
      </c>
      <c r="AK264" s="691">
        <f t="shared" si="189"/>
        <v>0.75311194683308536</v>
      </c>
      <c r="AL264" s="691">
        <f t="shared" si="189"/>
        <v>0.75367135680292818</v>
      </c>
      <c r="AM264" s="691">
        <f t="shared" si="189"/>
        <v>0.75426304958852242</v>
      </c>
      <c r="AN264" s="691">
        <f t="shared" si="189"/>
        <v>0.75486566861541171</v>
      </c>
      <c r="AO264" s="691">
        <f t="shared" si="189"/>
        <v>0.75547714746382189</v>
      </c>
      <c r="AP264" s="691">
        <f t="shared" si="189"/>
        <v>0.75608502542160183</v>
      </c>
      <c r="AQ264" s="691">
        <f t="shared" si="189"/>
        <v>0.75667048881208165</v>
      </c>
      <c r="AR264" s="691">
        <f t="shared" si="189"/>
        <v>0.75727821327427125</v>
      </c>
      <c r="AS264" s="691">
        <f t="shared" si="189"/>
        <v>0.7579332130600418</v>
      </c>
      <c r="AT264" s="691">
        <f t="shared" si="189"/>
        <v>0.75861524674276803</v>
      </c>
      <c r="AU264" s="691">
        <f t="shared" si="189"/>
        <v>0.75930024363016968</v>
      </c>
      <c r="AV264" s="691">
        <f t="shared" si="189"/>
        <v>0.7599947200741155</v>
      </c>
      <c r="AW264" s="691">
        <f t="shared" si="189"/>
        <v>0.76070855367734025</v>
      </c>
      <c r="AX264" s="691">
        <f t="shared" si="189"/>
        <v>0.76143185506320687</v>
      </c>
      <c r="AY264" s="691">
        <f t="shared" si="189"/>
        <v>0.76215085122849846</v>
      </c>
      <c r="AZ264" s="691">
        <f t="shared" si="189"/>
        <v>0.76286786506201176</v>
      </c>
      <c r="BA264" s="691">
        <f t="shared" si="189"/>
        <v>0.7635863661886676</v>
      </c>
      <c r="BB264" s="691">
        <f t="shared" si="189"/>
        <v>0.76432935276425573</v>
      </c>
      <c r="BC264" s="691">
        <f t="shared" si="189"/>
        <v>0.76509832717304926</v>
      </c>
      <c r="BD264" s="691">
        <f t="shared" si="189"/>
        <v>0.76588176541701625</v>
      </c>
      <c r="BE264" s="691">
        <f t="shared" si="189"/>
        <v>0.76667875965950449</v>
      </c>
      <c r="BF264" s="691">
        <f t="shared" si="189"/>
        <v>0.76748846046095487</v>
      </c>
      <c r="BG264" s="691">
        <f t="shared" si="189"/>
        <v>0.76831692997059375</v>
      </c>
      <c r="BH264" s="691">
        <f t="shared" si="189"/>
        <v>0.76915873830793957</v>
      </c>
      <c r="BI264" s="691">
        <f t="shared" si="189"/>
        <v>0.77002252678816929</v>
      </c>
      <c r="BJ264" s="691">
        <f t="shared" si="189"/>
        <v>0.77091395942821361</v>
      </c>
      <c r="BK264" s="691">
        <f t="shared" si="189"/>
        <v>0.77181966821842907</v>
      </c>
      <c r="BL264" s="691">
        <f t="shared" si="189"/>
        <v>0.77275723398087826</v>
      </c>
      <c r="BM264" s="691">
        <f t="shared" si="189"/>
        <v>0.77371964929151871</v>
      </c>
      <c r="BN264" s="691">
        <f t="shared" si="189"/>
        <v>0.77469173664805979</v>
      </c>
      <c r="BO264" s="691">
        <f t="shared" si="189"/>
        <v>0.7756785665401883</v>
      </c>
      <c r="BP264" s="691">
        <f t="shared" si="189"/>
        <v>0.77666132430083623</v>
      </c>
      <c r="BQ264" s="691">
        <f t="shared" si="189"/>
        <v>0.77764842241217691</v>
      </c>
      <c r="BR264" s="691">
        <f t="shared" si="189"/>
        <v>0.77864125386887262</v>
      </c>
      <c r="BS264" s="691">
        <f t="shared" si="189"/>
        <v>0.77965008696839566</v>
      </c>
      <c r="BT264" s="691">
        <f t="shared" ref="BT264:CI264" si="190">BT247/(BT247+BT255)</f>
        <v>0.78066898881104851</v>
      </c>
      <c r="BU264" s="691">
        <f t="shared" si="190"/>
        <v>0.781692064050586</v>
      </c>
      <c r="BV264" s="691">
        <f t="shared" si="190"/>
        <v>0.78272115879580595</v>
      </c>
      <c r="BW264" s="691">
        <f t="shared" si="190"/>
        <v>0.78376152090650475</v>
      </c>
      <c r="BX264" s="691">
        <f t="shared" si="190"/>
        <v>0.78480627493166089</v>
      </c>
      <c r="BY264" s="691">
        <f t="shared" si="190"/>
        <v>0.78585199951430196</v>
      </c>
      <c r="BZ264" s="691">
        <f t="shared" si="190"/>
        <v>0.78688918230557992</v>
      </c>
      <c r="CA264" s="691">
        <f t="shared" si="190"/>
        <v>0.78793283476387233</v>
      </c>
      <c r="CB264" s="691">
        <f t="shared" si="190"/>
        <v>0.78898374077646083</v>
      </c>
      <c r="CC264" s="691">
        <f t="shared" si="190"/>
        <v>0.79005621755001521</v>
      </c>
      <c r="CD264" s="691">
        <f t="shared" si="190"/>
        <v>0.79113349577773573</v>
      </c>
      <c r="CE264" s="691">
        <f t="shared" si="190"/>
        <v>0.79221664324010743</v>
      </c>
      <c r="CF264" s="691">
        <f t="shared" si="190"/>
        <v>0.79331028049479135</v>
      </c>
      <c r="CG264" s="691">
        <f t="shared" si="190"/>
        <v>0.79442868257132448</v>
      </c>
      <c r="CH264" s="691">
        <f t="shared" si="190"/>
        <v>0.79556731583896334</v>
      </c>
      <c r="CI264" s="692">
        <f t="shared" si="190"/>
        <v>0.79672132593903988</v>
      </c>
      <c r="CJ264" s="1410"/>
      <c r="CK264" s="605"/>
    </row>
    <row r="265" spans="1:89" s="64" customFormat="1" ht="28.5" thickBot="1" x14ac:dyDescent="0.4">
      <c r="A265" s="58"/>
      <c r="B265" s="958" t="s">
        <v>451</v>
      </c>
      <c r="C265" s="959" t="s">
        <v>452</v>
      </c>
      <c r="D265" s="960" t="s">
        <v>453</v>
      </c>
      <c r="E265" s="961" t="s">
        <v>359</v>
      </c>
      <c r="F265" s="962">
        <v>1</v>
      </c>
      <c r="G265" s="698">
        <f>(G247)/(G247+G256+G255+G254)</f>
        <v>0.71936702183333334</v>
      </c>
      <c r="H265" s="698">
        <f t="shared" ref="H265:BS265" si="191">(H247)/(H247+H256+H255+H254)</f>
        <v>0.71971560402967971</v>
      </c>
      <c r="I265" s="698">
        <f t="shared" si="191"/>
        <v>0.72179299712402811</v>
      </c>
      <c r="J265" s="698">
        <f t="shared" si="191"/>
        <v>0.72324300940223629</v>
      </c>
      <c r="K265" s="698">
        <f t="shared" si="191"/>
        <v>0.72389501511743448</v>
      </c>
      <c r="L265" s="698">
        <f t="shared" si="191"/>
        <v>0.72451015989326206</v>
      </c>
      <c r="M265" s="698">
        <f t="shared" si="191"/>
        <v>0.72503464110684623</v>
      </c>
      <c r="N265" s="698">
        <f t="shared" si="191"/>
        <v>0.72527972677206487</v>
      </c>
      <c r="O265" s="698">
        <f t="shared" si="191"/>
        <v>0.72550154206674322</v>
      </c>
      <c r="P265" s="698">
        <f t="shared" si="191"/>
        <v>0.72571165262299775</v>
      </c>
      <c r="Q265" s="698">
        <f t="shared" si="191"/>
        <v>0.72580064423584945</v>
      </c>
      <c r="R265" s="698">
        <f t="shared" si="191"/>
        <v>0.72587293074985837</v>
      </c>
      <c r="S265" s="698">
        <f t="shared" si="191"/>
        <v>0.7257551675267252</v>
      </c>
      <c r="T265" s="698">
        <f t="shared" si="191"/>
        <v>0.72558666065491861</v>
      </c>
      <c r="U265" s="698">
        <f t="shared" si="191"/>
        <v>0.72550086046622997</v>
      </c>
      <c r="V265" s="698">
        <f t="shared" si="191"/>
        <v>0.72549769008530074</v>
      </c>
      <c r="W265" s="698">
        <f t="shared" si="191"/>
        <v>0.72539888186364732</v>
      </c>
      <c r="X265" s="698">
        <f t="shared" si="191"/>
        <v>0.72512808767705417</v>
      </c>
      <c r="Y265" s="698">
        <f t="shared" si="191"/>
        <v>0.72486709156789786</v>
      </c>
      <c r="Z265" s="698">
        <f t="shared" si="191"/>
        <v>0.72470986519838931</v>
      </c>
      <c r="AA265" s="698">
        <f t="shared" si="191"/>
        <v>0.72440287687361704</v>
      </c>
      <c r="AB265" s="698">
        <f t="shared" si="191"/>
        <v>0.72408662878565655</v>
      </c>
      <c r="AC265" s="698">
        <f t="shared" si="191"/>
        <v>0.72380564100695632</v>
      </c>
      <c r="AD265" s="698">
        <f t="shared" si="191"/>
        <v>0.72355024270968116</v>
      </c>
      <c r="AE265" s="698">
        <f t="shared" si="191"/>
        <v>0.72333830136049171</v>
      </c>
      <c r="AF265" s="698">
        <f t="shared" si="191"/>
        <v>0.72312269061355028</v>
      </c>
      <c r="AG265" s="698">
        <f t="shared" si="191"/>
        <v>0.72286321501526263</v>
      </c>
      <c r="AH265" s="698">
        <f t="shared" si="191"/>
        <v>0.72259627557795281</v>
      </c>
      <c r="AI265" s="698">
        <f t="shared" si="191"/>
        <v>0.72236009549160596</v>
      </c>
      <c r="AJ265" s="698">
        <f t="shared" si="191"/>
        <v>0.72213279880498227</v>
      </c>
      <c r="AK265" s="698">
        <f t="shared" si="191"/>
        <v>0.72188578651392743</v>
      </c>
      <c r="AL265" s="698">
        <f t="shared" si="191"/>
        <v>0.72176140290798563</v>
      </c>
      <c r="AM265" s="698">
        <f t="shared" si="191"/>
        <v>0.72165851388800373</v>
      </c>
      <c r="AN265" s="698">
        <f t="shared" si="191"/>
        <v>0.72155392571009302</v>
      </c>
      <c r="AO265" s="698">
        <f t="shared" si="191"/>
        <v>0.7214452595439319</v>
      </c>
      <c r="AP265" s="698">
        <f t="shared" si="191"/>
        <v>0.72131879199608095</v>
      </c>
      <c r="AQ265" s="698">
        <f t="shared" si="191"/>
        <v>0.72115375489750655</v>
      </c>
      <c r="AR265" s="698">
        <f t="shared" si="191"/>
        <v>0.7209986946024064</v>
      </c>
      <c r="AS265" s="698">
        <f t="shared" si="191"/>
        <v>0.72088099627209978</v>
      </c>
      <c r="AT265" s="698">
        <f t="shared" si="191"/>
        <v>0.72077854982928014</v>
      </c>
      <c r="AU265" s="698">
        <f t="shared" si="191"/>
        <v>0.72066484887044824</v>
      </c>
      <c r="AV265" s="698">
        <f t="shared" si="191"/>
        <v>0.72054692538275977</v>
      </c>
      <c r="AW265" s="698">
        <f t="shared" si="191"/>
        <v>0.72043559838643856</v>
      </c>
      <c r="AX265" s="698">
        <f t="shared" si="191"/>
        <v>0.72031987112091089</v>
      </c>
      <c r="AY265" s="698">
        <f t="shared" si="191"/>
        <v>0.72018433368785584</v>
      </c>
      <c r="AZ265" s="698">
        <f t="shared" si="191"/>
        <v>0.72003136952080959</v>
      </c>
      <c r="BA265" s="698">
        <f t="shared" si="191"/>
        <v>0.7198646694196883</v>
      </c>
      <c r="BB265" s="698">
        <f t="shared" si="191"/>
        <v>0.71970983470354499</v>
      </c>
      <c r="BC265" s="698">
        <f t="shared" si="191"/>
        <v>0.71956859893441039</v>
      </c>
      <c r="BD265" s="698">
        <f t="shared" si="191"/>
        <v>0.71942806171807461</v>
      </c>
      <c r="BE265" s="698">
        <f t="shared" si="191"/>
        <v>0.71928717991505275</v>
      </c>
      <c r="BF265" s="698">
        <f t="shared" si="191"/>
        <v>0.71914497433861524</v>
      </c>
      <c r="BG265" s="698">
        <f t="shared" si="191"/>
        <v>0.71900830886575073</v>
      </c>
      <c r="BH265" s="698">
        <f t="shared" si="191"/>
        <v>0.71887105432349652</v>
      </c>
      <c r="BI265" s="698">
        <f t="shared" si="191"/>
        <v>0.71874308474402948</v>
      </c>
      <c r="BJ265" s="698">
        <f t="shared" si="191"/>
        <v>0.71863099260261631</v>
      </c>
      <c r="BK265" s="698">
        <f t="shared" si="191"/>
        <v>0.71851960760219824</v>
      </c>
      <c r="BL265" s="698">
        <f t="shared" si="191"/>
        <v>0.7184292391391971</v>
      </c>
      <c r="BM265" s="698">
        <f t="shared" si="191"/>
        <v>0.71835205072203101</v>
      </c>
      <c r="BN265" s="698">
        <f t="shared" si="191"/>
        <v>0.71827065084946284</v>
      </c>
      <c r="BO265" s="698">
        <f t="shared" si="191"/>
        <v>0.71819098648622948</v>
      </c>
      <c r="BP265" s="698">
        <f t="shared" si="191"/>
        <v>0.71809121950707833</v>
      </c>
      <c r="BQ265" s="698">
        <f t="shared" si="191"/>
        <v>0.71798111067106407</v>
      </c>
      <c r="BR265" s="698">
        <f t="shared" si="191"/>
        <v>0.71786231402280287</v>
      </c>
      <c r="BS265" s="698">
        <f t="shared" si="191"/>
        <v>0.71774698233509948</v>
      </c>
      <c r="BT265" s="698">
        <f t="shared" ref="BT265:CI265" si="192">(BT247)/(BT247+BT256+BT255+BT254)</f>
        <v>0.71762827945111096</v>
      </c>
      <c r="BU265" s="698">
        <f t="shared" si="192"/>
        <v>0.71749932786466686</v>
      </c>
      <c r="BV265" s="698">
        <f t="shared" si="192"/>
        <v>0.7173623891856904</v>
      </c>
      <c r="BW265" s="698">
        <f t="shared" si="192"/>
        <v>0.71722384007551476</v>
      </c>
      <c r="BX265" s="698">
        <f t="shared" si="192"/>
        <v>0.71707560247819468</v>
      </c>
      <c r="BY265" s="698">
        <f t="shared" si="192"/>
        <v>0.71691365067456714</v>
      </c>
      <c r="BZ265" s="698">
        <f t="shared" si="192"/>
        <v>0.71672653146141596</v>
      </c>
      <c r="CA265" s="698">
        <f t="shared" si="192"/>
        <v>0.71653242793887961</v>
      </c>
      <c r="CB265" s="698">
        <f t="shared" si="192"/>
        <v>0.71633246088211988</v>
      </c>
      <c r="CC265" s="698">
        <f t="shared" si="192"/>
        <v>0.71614436696565531</v>
      </c>
      <c r="CD265" s="698">
        <f t="shared" si="192"/>
        <v>0.71594793445546734</v>
      </c>
      <c r="CE265" s="698">
        <f t="shared" si="192"/>
        <v>0.715744669316004</v>
      </c>
      <c r="CF265" s="698">
        <f t="shared" si="192"/>
        <v>0.71554052499688758</v>
      </c>
      <c r="CG265" s="698">
        <f t="shared" si="192"/>
        <v>0.71535360874380283</v>
      </c>
      <c r="CH265" s="698">
        <f t="shared" si="192"/>
        <v>0.71517880960313285</v>
      </c>
      <c r="CI265" s="698">
        <f t="shared" si="192"/>
        <v>0.71501053838144479</v>
      </c>
      <c r="CJ265" s="1410"/>
      <c r="CK265" s="605"/>
    </row>
    <row r="266" spans="1:89" s="64" customFormat="1" ht="28.5" thickBot="1" x14ac:dyDescent="0.4">
      <c r="A266" s="58"/>
      <c r="B266" s="963" t="s">
        <v>454</v>
      </c>
      <c r="C266" s="964" t="s">
        <v>455</v>
      </c>
      <c r="D266" s="964" t="s">
        <v>456</v>
      </c>
      <c r="E266" s="964" t="s">
        <v>305</v>
      </c>
      <c r="F266" s="965">
        <v>2</v>
      </c>
      <c r="G266" s="702">
        <f>SUM(G226:G228)+G224+G235+G240+G241+G234</f>
        <v>90.940000000000012</v>
      </c>
      <c r="H266" s="702">
        <f t="shared" ref="H266:BS266" si="193">SUM(H226:H228)+H224+H235+H240+H241+H234</f>
        <v>92.983559690000007</v>
      </c>
      <c r="I266" s="702">
        <f t="shared" si="193"/>
        <v>100.24366295</v>
      </c>
      <c r="J266" s="702">
        <f t="shared" si="193"/>
        <v>100.30928940000001</v>
      </c>
      <c r="K266" s="702">
        <f t="shared" si="193"/>
        <v>100.27857874999999</v>
      </c>
      <c r="L266" s="702">
        <f t="shared" si="193"/>
        <v>99.61397006</v>
      </c>
      <c r="M266" s="702">
        <f t="shared" si="193"/>
        <v>101.28675233</v>
      </c>
      <c r="N266" s="702">
        <f t="shared" si="193"/>
        <v>102.68403669</v>
      </c>
      <c r="O266" s="702">
        <f t="shared" si="193"/>
        <v>104.25216266</v>
      </c>
      <c r="P266" s="702">
        <f t="shared" si="193"/>
        <v>105.74193423000001</v>
      </c>
      <c r="Q266" s="702">
        <f t="shared" si="193"/>
        <v>107.07791667000001</v>
      </c>
      <c r="R266" s="702">
        <f t="shared" si="193"/>
        <v>108.28906193</v>
      </c>
      <c r="S266" s="702">
        <f t="shared" si="193"/>
        <v>109.29442528999999</v>
      </c>
      <c r="T266" s="702">
        <f t="shared" si="193"/>
        <v>110.13897732000001</v>
      </c>
      <c r="U266" s="702">
        <f t="shared" si="193"/>
        <v>111.04030295000001</v>
      </c>
      <c r="V266" s="702">
        <f t="shared" si="193"/>
        <v>111.88841116</v>
      </c>
      <c r="W266" s="702">
        <f t="shared" si="193"/>
        <v>112.71305173</v>
      </c>
      <c r="X266" s="702">
        <f t="shared" si="193"/>
        <v>113.50114916000001</v>
      </c>
      <c r="Y266" s="702">
        <f t="shared" si="193"/>
        <v>114.23342760000001</v>
      </c>
      <c r="Z266" s="702">
        <f t="shared" si="193"/>
        <v>114.94869142</v>
      </c>
      <c r="AA266" s="702">
        <f t="shared" si="193"/>
        <v>115.28154322399999</v>
      </c>
      <c r="AB266" s="702">
        <f t="shared" si="193"/>
        <v>115.61986119900001</v>
      </c>
      <c r="AC266" s="702">
        <f t="shared" si="193"/>
        <v>115.94754826300002</v>
      </c>
      <c r="AD266" s="702">
        <f t="shared" si="193"/>
        <v>116.263310788</v>
      </c>
      <c r="AE266" s="702">
        <f t="shared" si="193"/>
        <v>116.571812212</v>
      </c>
      <c r="AF266" s="702">
        <f t="shared" si="193"/>
        <v>116.86271155700001</v>
      </c>
      <c r="AG266" s="702">
        <f t="shared" si="193"/>
        <v>117.12995766099999</v>
      </c>
      <c r="AH266" s="702">
        <f t="shared" si="193"/>
        <v>117.379036816</v>
      </c>
      <c r="AI266" s="702">
        <f t="shared" si="193"/>
        <v>117.61903077100001</v>
      </c>
      <c r="AJ266" s="702">
        <f t="shared" si="193"/>
        <v>117.845135625</v>
      </c>
      <c r="AK266" s="702">
        <f t="shared" si="193"/>
        <v>118.05178261100001</v>
      </c>
      <c r="AL266" s="702">
        <f t="shared" si="193"/>
        <v>118.17762231200001</v>
      </c>
      <c r="AM266" s="702">
        <f t="shared" si="193"/>
        <v>118.29948703100001</v>
      </c>
      <c r="AN266" s="702">
        <f t="shared" si="193"/>
        <v>118.420728779</v>
      </c>
      <c r="AO266" s="702">
        <f t="shared" si="193"/>
        <v>118.53877225400001</v>
      </c>
      <c r="AP266" s="702">
        <f t="shared" si="193"/>
        <v>118.65847254300002</v>
      </c>
      <c r="AQ266" s="702">
        <f t="shared" si="193"/>
        <v>118.77836346300001</v>
      </c>
      <c r="AR266" s="702">
        <f t="shared" si="193"/>
        <v>118.89817515500002</v>
      </c>
      <c r="AS266" s="702">
        <f t="shared" si="193"/>
        <v>119.01100067300001</v>
      </c>
      <c r="AT266" s="702">
        <f t="shared" si="193"/>
        <v>119.118280177</v>
      </c>
      <c r="AU266" s="702">
        <f t="shared" si="193"/>
        <v>119.22571619400001</v>
      </c>
      <c r="AV266" s="702">
        <f t="shared" si="193"/>
        <v>119.33021986600001</v>
      </c>
      <c r="AW266" s="702">
        <f t="shared" si="193"/>
        <v>119.43330732200002</v>
      </c>
      <c r="AX266" s="702">
        <f t="shared" si="193"/>
        <v>119.53690603799998</v>
      </c>
      <c r="AY266" s="702">
        <f t="shared" si="193"/>
        <v>119.64058631199998</v>
      </c>
      <c r="AZ266" s="702">
        <f t="shared" si="193"/>
        <v>119.74652132700001</v>
      </c>
      <c r="BA266" s="702">
        <f t="shared" si="193"/>
        <v>119.85507671500001</v>
      </c>
      <c r="BB266" s="702">
        <f t="shared" si="193"/>
        <v>119.96596007700001</v>
      </c>
      <c r="BC266" s="702">
        <f t="shared" si="193"/>
        <v>120.077096518</v>
      </c>
      <c r="BD266" s="702">
        <f t="shared" si="193"/>
        <v>120.19134207499999</v>
      </c>
      <c r="BE266" s="702">
        <f t="shared" si="193"/>
        <v>120.30776456300001</v>
      </c>
      <c r="BF266" s="702">
        <f t="shared" si="193"/>
        <v>120.426829193</v>
      </c>
      <c r="BG266" s="702">
        <f t="shared" si="193"/>
        <v>120.550983031</v>
      </c>
      <c r="BH266" s="702">
        <f t="shared" si="193"/>
        <v>120.679620404</v>
      </c>
      <c r="BI266" s="702">
        <f t="shared" si="193"/>
        <v>120.81306111100001</v>
      </c>
      <c r="BJ266" s="702">
        <f t="shared" si="193"/>
        <v>120.94957412700001</v>
      </c>
      <c r="BK266" s="702">
        <f t="shared" si="193"/>
        <v>121.08977197800002</v>
      </c>
      <c r="BL266" s="702">
        <f t="shared" si="193"/>
        <v>121.233435324</v>
      </c>
      <c r="BM266" s="702">
        <f t="shared" si="193"/>
        <v>121.38168680699999</v>
      </c>
      <c r="BN266" s="702">
        <f t="shared" si="193"/>
        <v>121.53602449699999</v>
      </c>
      <c r="BO266" s="702">
        <f t="shared" si="193"/>
        <v>121.69562018900001</v>
      </c>
      <c r="BP266" s="702">
        <f t="shared" si="193"/>
        <v>121.862022221</v>
      </c>
      <c r="BQ266" s="702">
        <f t="shared" si="193"/>
        <v>122.03416053999999</v>
      </c>
      <c r="BR266" s="702">
        <f t="shared" si="193"/>
        <v>122.21201167500001</v>
      </c>
      <c r="BS266" s="702">
        <f t="shared" si="193"/>
        <v>122.39264064700001</v>
      </c>
      <c r="BT266" s="702">
        <f t="shared" ref="BT266:CI266" si="194">SUM(BT226:BT228)+BT224+BT235+BT240+BT241+BT234</f>
        <v>122.576984895</v>
      </c>
      <c r="BU266" s="702">
        <f t="shared" si="194"/>
        <v>122.76457591699999</v>
      </c>
      <c r="BV266" s="702">
        <f t="shared" si="194"/>
        <v>122.95621821100001</v>
      </c>
      <c r="BW266" s="702">
        <f t="shared" si="194"/>
        <v>123.148797591</v>
      </c>
      <c r="BX266" s="702">
        <f t="shared" si="194"/>
        <v>123.343642222</v>
      </c>
      <c r="BY266" s="702">
        <f t="shared" si="194"/>
        <v>123.54053310800001</v>
      </c>
      <c r="BZ266" s="702">
        <f t="shared" si="194"/>
        <v>123.74001567000002</v>
      </c>
      <c r="CA266" s="702">
        <f t="shared" si="194"/>
        <v>123.940530361</v>
      </c>
      <c r="CB266" s="702">
        <f t="shared" si="194"/>
        <v>124.14230633699999</v>
      </c>
      <c r="CC266" s="702">
        <f t="shared" si="194"/>
        <v>124.343081392</v>
      </c>
      <c r="CD266" s="702">
        <f t="shared" si="194"/>
        <v>124.54457142500002</v>
      </c>
      <c r="CE266" s="702">
        <f t="shared" si="194"/>
        <v>124.745038975</v>
      </c>
      <c r="CF266" s="702">
        <f t="shared" si="194"/>
        <v>124.94443453299999</v>
      </c>
      <c r="CG266" s="702">
        <f t="shared" si="194"/>
        <v>125.14169030400001</v>
      </c>
      <c r="CH266" s="702">
        <f t="shared" si="194"/>
        <v>125.260460225</v>
      </c>
      <c r="CI266" s="702">
        <f t="shared" si="194"/>
        <v>125.37682588600001</v>
      </c>
      <c r="CJ266" s="1410"/>
      <c r="CK266" s="605"/>
    </row>
    <row r="267" spans="1:89" s="64" customFormat="1" ht="28" x14ac:dyDescent="0.35">
      <c r="A267" s="58"/>
      <c r="B267" s="966" t="s">
        <v>457</v>
      </c>
      <c r="C267" s="967" t="s">
        <v>458</v>
      </c>
      <c r="D267" s="901" t="s">
        <v>82</v>
      </c>
      <c r="E267" s="967" t="s">
        <v>305</v>
      </c>
      <c r="F267" s="968">
        <v>2</v>
      </c>
      <c r="G267" s="706"/>
      <c r="H267" s="706"/>
      <c r="I267" s="706"/>
      <c r="J267" s="706">
        <v>2.2135082696338161E-2</v>
      </c>
      <c r="K267" s="706">
        <v>3.6881439488851558E-2</v>
      </c>
      <c r="L267" s="706">
        <v>5.0857915624120766E-2</v>
      </c>
      <c r="M267" s="707">
        <v>6.3757055008627703E-2</v>
      </c>
      <c r="N267" s="707">
        <v>7.449549052646047E-2</v>
      </c>
      <c r="O267" s="707">
        <v>8.7905949911672485E-2</v>
      </c>
      <c r="P267" s="707">
        <v>0.10104281734633672</v>
      </c>
      <c r="Q267" s="707">
        <v>0.11394731207046913</v>
      </c>
      <c r="R267" s="707">
        <v>8.8817419153509825E-2</v>
      </c>
      <c r="S267" s="707">
        <v>9.5449543433246839E-2</v>
      </c>
      <c r="T267" s="707">
        <v>0.10156698862731575</v>
      </c>
      <c r="U267" s="707">
        <v>0.11263764732675166</v>
      </c>
      <c r="V267" s="707">
        <v>0.11776034956378902</v>
      </c>
      <c r="W267" s="707">
        <v>8.4129066180161624E-2</v>
      </c>
      <c r="X267" s="707">
        <v>8.5148687543332408E-2</v>
      </c>
      <c r="Y267" s="707">
        <v>8.4673564453131483E-2</v>
      </c>
      <c r="Z267" s="707">
        <v>8.769574137812633E-2</v>
      </c>
      <c r="AA267" s="707">
        <v>0.10084640318601301</v>
      </c>
      <c r="AB267" s="707">
        <v>7.7854534460164132E-2</v>
      </c>
      <c r="AC267" s="707">
        <v>7.9215479508950193E-2</v>
      </c>
      <c r="AD267" s="707">
        <v>7.4193501118193603E-2</v>
      </c>
      <c r="AE267" s="707">
        <v>8.4433383350419194E-2</v>
      </c>
      <c r="AF267" s="707">
        <v>8.407474787576634E-2</v>
      </c>
      <c r="AG267" s="707">
        <v>9.5091692574334585E-2</v>
      </c>
      <c r="AH267" s="707">
        <v>9.5495418271717022E-2</v>
      </c>
      <c r="AI267" s="707">
        <v>9.2702197826648347E-2</v>
      </c>
      <c r="AJ267" s="707">
        <v>0.10160115959386007</v>
      </c>
      <c r="AK267" s="707">
        <v>8.4816402872966101E-2</v>
      </c>
      <c r="AL267" s="707">
        <v>0.10466097528083915</v>
      </c>
      <c r="AM267" s="707">
        <v>0.1026746880517484</v>
      </c>
      <c r="AN267" s="707">
        <v>0.10939351254041788</v>
      </c>
      <c r="AO267" s="707">
        <v>0.11223453301782205</v>
      </c>
      <c r="AP267" s="707">
        <v>0.10791177992346214</v>
      </c>
      <c r="AQ267" s="707">
        <v>0.11911057760490781</v>
      </c>
      <c r="AR267" s="707">
        <v>0.11622898966121044</v>
      </c>
      <c r="AS267" s="707">
        <v>0.11239539916477209</v>
      </c>
      <c r="AT267" s="707">
        <v>0.12403816906964336</v>
      </c>
      <c r="AU267" s="707">
        <v>0.11790743829002751</v>
      </c>
      <c r="AV267" s="707">
        <v>0.11630178794802382</v>
      </c>
      <c r="AW267" s="707">
        <v>0.11227694698412269</v>
      </c>
      <c r="AX267" s="707">
        <v>0.10611300073071227</v>
      </c>
      <c r="AY267" s="707">
        <v>0.1211983079081119</v>
      </c>
      <c r="AZ267" s="707">
        <v>0.10753818425233554</v>
      </c>
      <c r="BA267" s="707">
        <v>0.12089458440719111</v>
      </c>
      <c r="BB267" s="707">
        <v>0.11082901988532635</v>
      </c>
      <c r="BC267" s="707">
        <v>0.11798805884298127</v>
      </c>
      <c r="BD267" s="707">
        <v>0.10225488767276052</v>
      </c>
      <c r="BE267" s="707">
        <v>8.2559418634923068E-2</v>
      </c>
      <c r="BF267" s="707">
        <v>0.10806049951357385</v>
      </c>
      <c r="BG267" s="707">
        <v>9.1645745072899604E-2</v>
      </c>
      <c r="BH267" s="707">
        <v>0.10896077842156252</v>
      </c>
      <c r="BI267" s="707">
        <v>0.10806405896355263</v>
      </c>
      <c r="BJ267" s="707">
        <v>8.3771221954906466E-2</v>
      </c>
      <c r="BK267" s="707">
        <v>0.11206428522379627</v>
      </c>
      <c r="BL267" s="707">
        <v>8.6764264386837084E-2</v>
      </c>
      <c r="BM267" s="707">
        <v>8.5728153387587214E-2</v>
      </c>
      <c r="BN267" s="707">
        <v>8.9678045031455905E-2</v>
      </c>
      <c r="BO267" s="707">
        <v>0.10228666565542566</v>
      </c>
      <c r="BP267" s="707">
        <v>9.9888680175159242E-2</v>
      </c>
      <c r="BQ267" s="707">
        <v>9.826738527677864E-2</v>
      </c>
      <c r="BR267" s="707">
        <v>7.5238726055267491E-2</v>
      </c>
      <c r="BS267" s="707">
        <v>0.10172876119539634</v>
      </c>
      <c r="BT267" s="707">
        <v>8.5313963498530404E-2</v>
      </c>
      <c r="BU267" s="707">
        <v>6.372852771377617E-2</v>
      </c>
      <c r="BV267" s="707">
        <v>9.5510302030576116E-2</v>
      </c>
      <c r="BW267" s="707">
        <v>9.0951353832977685E-2</v>
      </c>
      <c r="BX267" s="707">
        <v>6.6534496936441076E-2</v>
      </c>
      <c r="BY267" s="707">
        <v>8.5298756269272302E-2</v>
      </c>
      <c r="BZ267" s="707">
        <v>9.7393479485098383E-2</v>
      </c>
      <c r="CA267" s="707">
        <v>9.8453678863815619E-2</v>
      </c>
      <c r="CB267" s="707">
        <v>9.3661534629776236E-2</v>
      </c>
      <c r="CC267" s="707">
        <v>8.6687281516139136E-2</v>
      </c>
      <c r="CD267" s="707">
        <v>6.474712390746748E-2</v>
      </c>
      <c r="CE267" s="707">
        <v>8.6741726875946654E-2</v>
      </c>
      <c r="CF267" s="707">
        <v>7.4382642780634681E-2</v>
      </c>
      <c r="CG267" s="707">
        <v>8.8427596801565228E-2</v>
      </c>
      <c r="CH267" s="707">
        <v>7.4244855699800383E-2</v>
      </c>
      <c r="CI267" s="708">
        <v>0.10118288218578361</v>
      </c>
      <c r="CJ267" s="1410">
        <v>0.12650506779649806</v>
      </c>
    </row>
    <row r="268" spans="1:89" s="64" customFormat="1" x14ac:dyDescent="0.35">
      <c r="A268" s="58"/>
      <c r="B268" s="969" t="s">
        <v>459</v>
      </c>
      <c r="C268" s="970" t="s">
        <v>460</v>
      </c>
      <c r="D268" s="906" t="s">
        <v>82</v>
      </c>
      <c r="E268" s="970" t="s">
        <v>305</v>
      </c>
      <c r="F268" s="971">
        <v>2</v>
      </c>
      <c r="G268" s="712"/>
      <c r="H268" s="712"/>
      <c r="I268" s="712"/>
      <c r="J268" s="712">
        <v>4.6335873644511514</v>
      </c>
      <c r="K268" s="712">
        <v>5.1790850850572587</v>
      </c>
      <c r="L268" s="712">
        <v>4.8133830670337892</v>
      </c>
      <c r="M268" s="713">
        <v>4.8489368568843823</v>
      </c>
      <c r="N268" s="713">
        <v>4.7913786393431703</v>
      </c>
      <c r="O268" s="713">
        <v>4.6987774056388583</v>
      </c>
      <c r="P268" s="713">
        <v>4.7900352242085127</v>
      </c>
      <c r="Q268" s="713">
        <v>4.8124760208485906</v>
      </c>
      <c r="R268" s="713">
        <v>3.4973333763844003</v>
      </c>
      <c r="S268" s="713">
        <v>3.4074564724788932</v>
      </c>
      <c r="T268" s="713">
        <v>3.4130435684781646</v>
      </c>
      <c r="U268" s="713">
        <v>3.4605846347147082</v>
      </c>
      <c r="V268" s="713">
        <v>3.3520591164242908</v>
      </c>
      <c r="W268" s="713">
        <v>2.2175831289376084</v>
      </c>
      <c r="X268" s="713">
        <v>2.1223662601227176</v>
      </c>
      <c r="Y268" s="713">
        <v>2.0172495465843987</v>
      </c>
      <c r="Z268" s="713">
        <v>1.9757944183200638</v>
      </c>
      <c r="AA268" s="713">
        <v>2.2189024118484371</v>
      </c>
      <c r="AB268" s="713">
        <v>1.6087885921100158</v>
      </c>
      <c r="AC268" s="713">
        <v>1.4827814271520099</v>
      </c>
      <c r="AD268" s="713">
        <v>1.3525114191510865</v>
      </c>
      <c r="AE268" s="713">
        <v>1.5543349214009008</v>
      </c>
      <c r="AF268" s="713">
        <v>1.3909339080165537</v>
      </c>
      <c r="AG268" s="713">
        <v>1.5569861251309154</v>
      </c>
      <c r="AH268" s="713">
        <v>1.509049662139313</v>
      </c>
      <c r="AI268" s="713">
        <v>1.4651213209555518</v>
      </c>
      <c r="AJ268" s="713">
        <v>1.52292732695757</v>
      </c>
      <c r="AK268" s="713">
        <v>1.2373674034652939</v>
      </c>
      <c r="AL268" s="713">
        <v>1.4792476516341508</v>
      </c>
      <c r="AM268" s="713">
        <v>1.4529782093750117</v>
      </c>
      <c r="AN268" s="713">
        <v>1.4593805442974721</v>
      </c>
      <c r="AO268" s="713">
        <v>1.480448791559688</v>
      </c>
      <c r="AP268" s="713">
        <v>1.3743783300247079</v>
      </c>
      <c r="AQ268" s="713">
        <v>1.4879189490995923</v>
      </c>
      <c r="AR268" s="713">
        <v>1.4121736775933995</v>
      </c>
      <c r="AS268" s="713">
        <v>1.3689070514868178</v>
      </c>
      <c r="AT268" s="713">
        <v>1.4505494829146668</v>
      </c>
      <c r="AU268" s="713">
        <v>1.3416359187509224</v>
      </c>
      <c r="AV268" s="713">
        <v>1.3243713285718961</v>
      </c>
      <c r="AW268" s="713">
        <v>1.2278146221096773</v>
      </c>
      <c r="AX268" s="713">
        <v>1.1798400122903077</v>
      </c>
      <c r="AY268" s="713">
        <v>1.3279845531254781</v>
      </c>
      <c r="AZ268" s="713">
        <v>1.1002866053770344</v>
      </c>
      <c r="BA268" s="713">
        <v>1.208375216177809</v>
      </c>
      <c r="BB268" s="713">
        <v>1.0888621591811036</v>
      </c>
      <c r="BC268" s="713">
        <v>1.1196407314986185</v>
      </c>
      <c r="BD268" s="713">
        <v>0.99383782173510959</v>
      </c>
      <c r="BE268" s="713">
        <v>0.74738656290779992</v>
      </c>
      <c r="BF268" s="713">
        <v>0.99131444817269609</v>
      </c>
      <c r="BG268" s="713">
        <v>0.86353800317563245</v>
      </c>
      <c r="BH268" s="713">
        <v>0.98554218066083754</v>
      </c>
      <c r="BI268" s="713">
        <v>0.97458071824082726</v>
      </c>
      <c r="BJ268" s="713">
        <v>0.72627036091242947</v>
      </c>
      <c r="BK268" s="713">
        <v>0.96426912252145369</v>
      </c>
      <c r="BL268" s="713">
        <v>0.72881224107248799</v>
      </c>
      <c r="BM268" s="713">
        <v>0.70374333508990483</v>
      </c>
      <c r="BN268" s="713">
        <v>0.72163389871224304</v>
      </c>
      <c r="BO268" s="713">
        <v>0.8139058542163673</v>
      </c>
      <c r="BP268" s="713">
        <v>0.78464521855571567</v>
      </c>
      <c r="BQ268" s="713">
        <v>0.74247262114183843</v>
      </c>
      <c r="BR268" s="713">
        <v>0.55880280794923254</v>
      </c>
      <c r="BS268" s="713">
        <v>0.76825761726083974</v>
      </c>
      <c r="BT268" s="713">
        <v>0.65640099232824267</v>
      </c>
      <c r="BU268" s="713">
        <v>0.46363366280996482</v>
      </c>
      <c r="BV268" s="713">
        <v>0.70755832881601188</v>
      </c>
      <c r="BW268" s="713">
        <v>0.62933462946811936</v>
      </c>
      <c r="BX268" s="713">
        <v>0.48716576785158994</v>
      </c>
      <c r="BY268" s="713">
        <v>0.61104225660047173</v>
      </c>
      <c r="BZ268" s="713">
        <v>0.71513439680084867</v>
      </c>
      <c r="CA268" s="713">
        <v>0.7155512640710634</v>
      </c>
      <c r="CB268" s="713">
        <v>0.63232293123867878</v>
      </c>
      <c r="CC268" s="713">
        <v>0.60007897841160984</v>
      </c>
      <c r="CD268" s="713">
        <v>0.43604246579971451</v>
      </c>
      <c r="CE268" s="713">
        <v>0.5851618247657614</v>
      </c>
      <c r="CF268" s="713">
        <v>0.50942516539698934</v>
      </c>
      <c r="CG268" s="713">
        <v>0.56184770456689881</v>
      </c>
      <c r="CH268" s="713">
        <v>0.49752244637141257</v>
      </c>
      <c r="CI268" s="714">
        <v>0.70766926161833332</v>
      </c>
      <c r="CJ268" s="1410">
        <v>0.86863952555156598</v>
      </c>
    </row>
    <row r="269" spans="1:89" s="64" customFormat="1" x14ac:dyDescent="0.35">
      <c r="A269" s="58"/>
      <c r="B269" s="969" t="s">
        <v>461</v>
      </c>
      <c r="C269" s="970" t="s">
        <v>462</v>
      </c>
      <c r="D269" s="906" t="s">
        <v>463</v>
      </c>
      <c r="E269" s="970" t="s">
        <v>305</v>
      </c>
      <c r="F269" s="971">
        <v>2</v>
      </c>
      <c r="G269" s="715">
        <f>G267+G268</f>
        <v>0</v>
      </c>
      <c r="H269" s="715">
        <f t="shared" ref="H269:BS269" si="195">H267+H268</f>
        <v>0</v>
      </c>
      <c r="I269" s="715">
        <f t="shared" si="195"/>
        <v>0</v>
      </c>
      <c r="J269" s="715">
        <f t="shared" si="195"/>
        <v>4.6557224471474896</v>
      </c>
      <c r="K269" s="715">
        <f t="shared" si="195"/>
        <v>5.2159665245461104</v>
      </c>
      <c r="L269" s="715">
        <f t="shared" si="195"/>
        <v>4.8642409826579103</v>
      </c>
      <c r="M269" s="715">
        <f t="shared" si="195"/>
        <v>4.91269391189301</v>
      </c>
      <c r="N269" s="715">
        <f t="shared" si="195"/>
        <v>4.8658741298696304</v>
      </c>
      <c r="O269" s="715">
        <f t="shared" si="195"/>
        <v>4.7866833555505304</v>
      </c>
      <c r="P269" s="715">
        <f t="shared" si="195"/>
        <v>4.8910780415548496</v>
      </c>
      <c r="Q269" s="715">
        <f t="shared" si="195"/>
        <v>4.9264233329190601</v>
      </c>
      <c r="R269" s="715">
        <f t="shared" si="195"/>
        <v>3.5861507955379102</v>
      </c>
      <c r="S269" s="715">
        <f t="shared" si="195"/>
        <v>3.5029060159121399</v>
      </c>
      <c r="T269" s="715">
        <f t="shared" si="195"/>
        <v>3.5146105571054802</v>
      </c>
      <c r="U269" s="715">
        <f t="shared" si="195"/>
        <v>3.5732222820414599</v>
      </c>
      <c r="V269" s="715">
        <f t="shared" si="195"/>
        <v>3.4698194659880799</v>
      </c>
      <c r="W269" s="715">
        <f t="shared" si="195"/>
        <v>2.3017121951177701</v>
      </c>
      <c r="X269" s="715">
        <f t="shared" si="195"/>
        <v>2.2075149476660498</v>
      </c>
      <c r="Y269" s="715">
        <f t="shared" si="195"/>
        <v>2.10192311103753</v>
      </c>
      <c r="Z269" s="715">
        <f t="shared" si="195"/>
        <v>2.0634901596981901</v>
      </c>
      <c r="AA269" s="715">
        <f t="shared" si="195"/>
        <v>2.3197488150344503</v>
      </c>
      <c r="AB269" s="715">
        <f t="shared" si="195"/>
        <v>1.68664312657018</v>
      </c>
      <c r="AC269" s="715">
        <f t="shared" si="195"/>
        <v>1.56199690666096</v>
      </c>
      <c r="AD269" s="715">
        <f t="shared" si="195"/>
        <v>1.4267049202692801</v>
      </c>
      <c r="AE269" s="715">
        <f t="shared" si="195"/>
        <v>1.63876830475132</v>
      </c>
      <c r="AF269" s="715">
        <f t="shared" si="195"/>
        <v>1.4750086558923201</v>
      </c>
      <c r="AG269" s="715">
        <f t="shared" si="195"/>
        <v>1.65207781770525</v>
      </c>
      <c r="AH269" s="715">
        <f t="shared" si="195"/>
        <v>1.6045450804110299</v>
      </c>
      <c r="AI269" s="715">
        <f t="shared" si="195"/>
        <v>1.5578235187822003</v>
      </c>
      <c r="AJ269" s="715">
        <f t="shared" si="195"/>
        <v>1.62452848655143</v>
      </c>
      <c r="AK269" s="715">
        <f t="shared" si="195"/>
        <v>1.32218380633826</v>
      </c>
      <c r="AL269" s="715">
        <f t="shared" si="195"/>
        <v>1.58390862691499</v>
      </c>
      <c r="AM269" s="715">
        <f t="shared" si="195"/>
        <v>1.5556528974267601</v>
      </c>
      <c r="AN269" s="715">
        <f t="shared" si="195"/>
        <v>1.5687740568378901</v>
      </c>
      <c r="AO269" s="715">
        <f t="shared" si="195"/>
        <v>1.5926833245775101</v>
      </c>
      <c r="AP269" s="715">
        <f t="shared" si="195"/>
        <v>1.48229010994817</v>
      </c>
      <c r="AQ269" s="715">
        <f t="shared" si="195"/>
        <v>1.6070295267045001</v>
      </c>
      <c r="AR269" s="715">
        <f t="shared" si="195"/>
        <v>1.52840266725461</v>
      </c>
      <c r="AS269" s="715">
        <f t="shared" si="195"/>
        <v>1.4813024506515899</v>
      </c>
      <c r="AT269" s="715">
        <f t="shared" si="195"/>
        <v>1.5745876519843101</v>
      </c>
      <c r="AU269" s="715">
        <f t="shared" si="195"/>
        <v>1.45954335704095</v>
      </c>
      <c r="AV269" s="715">
        <f t="shared" si="195"/>
        <v>1.4406731165199198</v>
      </c>
      <c r="AW269" s="715">
        <f t="shared" si="195"/>
        <v>1.3400915690938</v>
      </c>
      <c r="AX269" s="715">
        <f t="shared" si="195"/>
        <v>1.2859530130210199</v>
      </c>
      <c r="AY269" s="715">
        <f t="shared" si="195"/>
        <v>1.44918286103359</v>
      </c>
      <c r="AZ269" s="715">
        <f t="shared" si="195"/>
        <v>1.2078247896293699</v>
      </c>
      <c r="BA269" s="715">
        <f t="shared" si="195"/>
        <v>1.3292698005850001</v>
      </c>
      <c r="BB269" s="715">
        <f t="shared" si="195"/>
        <v>1.19969117906643</v>
      </c>
      <c r="BC269" s="715">
        <f t="shared" si="195"/>
        <v>1.2376287903415999</v>
      </c>
      <c r="BD269" s="715">
        <f t="shared" si="195"/>
        <v>1.0960927094078701</v>
      </c>
      <c r="BE269" s="715">
        <f t="shared" si="195"/>
        <v>0.82994598154272303</v>
      </c>
      <c r="BF269" s="715">
        <f t="shared" si="195"/>
        <v>1.09937494768627</v>
      </c>
      <c r="BG269" s="715">
        <f t="shared" si="195"/>
        <v>0.95518374824853203</v>
      </c>
      <c r="BH269" s="715">
        <f t="shared" si="195"/>
        <v>1.0945029590824</v>
      </c>
      <c r="BI269" s="715">
        <f t="shared" si="195"/>
        <v>1.0826447772043799</v>
      </c>
      <c r="BJ269" s="715">
        <f t="shared" si="195"/>
        <v>0.81004158286733596</v>
      </c>
      <c r="BK269" s="715">
        <f t="shared" si="195"/>
        <v>1.07633340774525</v>
      </c>
      <c r="BL269" s="715">
        <f t="shared" si="195"/>
        <v>0.81557650545932503</v>
      </c>
      <c r="BM269" s="715">
        <f t="shared" si="195"/>
        <v>0.78947148847749204</v>
      </c>
      <c r="BN269" s="715">
        <f t="shared" si="195"/>
        <v>0.81131194374369897</v>
      </c>
      <c r="BO269" s="715">
        <f t="shared" si="195"/>
        <v>0.91619251987179295</v>
      </c>
      <c r="BP269" s="715">
        <f t="shared" si="195"/>
        <v>0.88453389873087496</v>
      </c>
      <c r="BQ269" s="715">
        <f t="shared" si="195"/>
        <v>0.84074000641861701</v>
      </c>
      <c r="BR269" s="715">
        <f t="shared" si="195"/>
        <v>0.63404153400450003</v>
      </c>
      <c r="BS269" s="715">
        <f t="shared" si="195"/>
        <v>0.86998637845623605</v>
      </c>
      <c r="BT269" s="715">
        <f t="shared" ref="BT269:CI269" si="196">BT267+BT268</f>
        <v>0.74171495582677305</v>
      </c>
      <c r="BU269" s="715">
        <f t="shared" si="196"/>
        <v>0.527362190523741</v>
      </c>
      <c r="BV269" s="715">
        <f t="shared" si="196"/>
        <v>0.80306863084658797</v>
      </c>
      <c r="BW269" s="715">
        <f t="shared" si="196"/>
        <v>0.72028598330109705</v>
      </c>
      <c r="BX269" s="715">
        <f t="shared" si="196"/>
        <v>0.55370026478803103</v>
      </c>
      <c r="BY269" s="715">
        <f t="shared" si="196"/>
        <v>0.69634101286974404</v>
      </c>
      <c r="BZ269" s="715">
        <f t="shared" si="196"/>
        <v>0.81252787628594703</v>
      </c>
      <c r="CA269" s="715">
        <f t="shared" si="196"/>
        <v>0.81400494293487902</v>
      </c>
      <c r="CB269" s="715">
        <f t="shared" si="196"/>
        <v>0.725984465868455</v>
      </c>
      <c r="CC269" s="715">
        <f t="shared" si="196"/>
        <v>0.68676625992774898</v>
      </c>
      <c r="CD269" s="715">
        <f t="shared" si="196"/>
        <v>0.50078958970718201</v>
      </c>
      <c r="CE269" s="715">
        <f t="shared" si="196"/>
        <v>0.67190355164170801</v>
      </c>
      <c r="CF269" s="715">
        <f t="shared" si="196"/>
        <v>0.58380780817762401</v>
      </c>
      <c r="CG269" s="715">
        <f t="shared" si="196"/>
        <v>0.65027530136846401</v>
      </c>
      <c r="CH269" s="715">
        <f t="shared" si="196"/>
        <v>0.57176730207121296</v>
      </c>
      <c r="CI269" s="715">
        <f t="shared" si="196"/>
        <v>0.80885214380411696</v>
      </c>
      <c r="CJ269" s="1410">
        <v>0.99514459334806404</v>
      </c>
    </row>
    <row r="270" spans="1:89" s="64" customFormat="1" x14ac:dyDescent="0.35">
      <c r="A270" s="58"/>
      <c r="B270" s="1157" t="s">
        <v>464</v>
      </c>
      <c r="C270" s="1158" t="s">
        <v>465</v>
      </c>
      <c r="D270" s="1159" t="s">
        <v>466</v>
      </c>
      <c r="E270" s="1158" t="s">
        <v>305</v>
      </c>
      <c r="F270" s="1160">
        <v>2</v>
      </c>
      <c r="G270" s="1166">
        <f>G223-G266</f>
        <v>46.439999999999984</v>
      </c>
      <c r="H270" s="715">
        <f t="shared" ref="H270:BS270" si="197">H223-H266</f>
        <v>44.396440309999988</v>
      </c>
      <c r="I270" s="715">
        <f t="shared" si="197"/>
        <v>37.136337049999995</v>
      </c>
      <c r="J270" s="715">
        <f t="shared" si="197"/>
        <v>37.070710599999984</v>
      </c>
      <c r="K270" s="715">
        <f t="shared" si="197"/>
        <v>37.101421250000001</v>
      </c>
      <c r="L270" s="715">
        <f t="shared" si="197"/>
        <v>37.766029939999996</v>
      </c>
      <c r="M270" s="716">
        <f t="shared" si="197"/>
        <v>23.541095008129503</v>
      </c>
      <c r="N270" s="716">
        <f>N223-N266</f>
        <v>21.995910648129509</v>
      </c>
      <c r="O270" s="716">
        <f t="shared" si="197"/>
        <v>19.919884678129506</v>
      </c>
      <c r="P270" s="716">
        <f t="shared" si="197"/>
        <v>18.282213108129497</v>
      </c>
      <c r="Q270" s="716">
        <f t="shared" si="197"/>
        <v>16.798330668129495</v>
      </c>
      <c r="R270" s="716">
        <f t="shared" si="197"/>
        <v>-2.5707145918704981</v>
      </c>
      <c r="S270" s="716">
        <f t="shared" si="197"/>
        <v>-3.723977951870495</v>
      </c>
      <c r="T270" s="716">
        <f t="shared" si="197"/>
        <v>-4.7164299818705047</v>
      </c>
      <c r="U270" s="716">
        <f t="shared" si="197"/>
        <v>-5.765655611870514</v>
      </c>
      <c r="V270" s="716">
        <f t="shared" si="197"/>
        <v>-6.7616638218704992</v>
      </c>
      <c r="W270" s="716">
        <f t="shared" si="197"/>
        <v>-7.7342043918705059</v>
      </c>
      <c r="X270" s="716">
        <f t="shared" si="197"/>
        <v>-8.6702018218705064</v>
      </c>
      <c r="Y270" s="716">
        <f t="shared" si="197"/>
        <v>-9.5503802618705151</v>
      </c>
      <c r="Z270" s="716">
        <f t="shared" si="197"/>
        <v>-10.413544081870498</v>
      </c>
      <c r="AA270" s="716">
        <f t="shared" si="197"/>
        <v>-10.894295885870491</v>
      </c>
      <c r="AB270" s="716">
        <f t="shared" si="197"/>
        <v>-43.269861199000019</v>
      </c>
      <c r="AC270" s="716">
        <f t="shared" si="197"/>
        <v>-43.597548263000022</v>
      </c>
      <c r="AD270" s="716">
        <f t="shared" si="197"/>
        <v>-43.913310788000004</v>
      </c>
      <c r="AE270" s="716">
        <f t="shared" si="197"/>
        <v>-44.221812212000003</v>
      </c>
      <c r="AF270" s="716">
        <f t="shared" si="197"/>
        <v>-44.512711557000017</v>
      </c>
      <c r="AG270" s="716">
        <f t="shared" si="197"/>
        <v>-44.779957660999997</v>
      </c>
      <c r="AH270" s="716">
        <f t="shared" si="197"/>
        <v>-45.029036816000001</v>
      </c>
      <c r="AI270" s="716">
        <f t="shared" si="197"/>
        <v>-45.269030771000018</v>
      </c>
      <c r="AJ270" s="716">
        <f t="shared" si="197"/>
        <v>-45.495135625000003</v>
      </c>
      <c r="AK270" s="716">
        <f t="shared" si="197"/>
        <v>-45.701782611000013</v>
      </c>
      <c r="AL270" s="716">
        <f t="shared" si="197"/>
        <v>-45.827622312000017</v>
      </c>
      <c r="AM270" s="716">
        <f t="shared" si="197"/>
        <v>-45.949487031000018</v>
      </c>
      <c r="AN270" s="716">
        <f t="shared" si="197"/>
        <v>-46.070728779000007</v>
      </c>
      <c r="AO270" s="716">
        <f t="shared" si="197"/>
        <v>-46.188772254000014</v>
      </c>
      <c r="AP270" s="716">
        <f t="shared" si="197"/>
        <v>-46.308472543000022</v>
      </c>
      <c r="AQ270" s="716">
        <f t="shared" si="197"/>
        <v>-46.428363463000011</v>
      </c>
      <c r="AR270" s="716">
        <f t="shared" si="197"/>
        <v>-46.548175155000024</v>
      </c>
      <c r="AS270" s="716">
        <f t="shared" si="197"/>
        <v>-46.661000673000018</v>
      </c>
      <c r="AT270" s="716">
        <f t="shared" si="197"/>
        <v>-46.768280177000008</v>
      </c>
      <c r="AU270" s="716">
        <f t="shared" si="197"/>
        <v>-46.87571619400002</v>
      </c>
      <c r="AV270" s="716">
        <f t="shared" si="197"/>
        <v>-46.980219866000013</v>
      </c>
      <c r="AW270" s="716">
        <f t="shared" si="197"/>
        <v>-47.083307322000024</v>
      </c>
      <c r="AX270" s="716">
        <f t="shared" si="197"/>
        <v>-47.186906037999989</v>
      </c>
      <c r="AY270" s="716">
        <f t="shared" si="197"/>
        <v>-47.290586311999988</v>
      </c>
      <c r="AZ270" s="716">
        <f t="shared" si="197"/>
        <v>-47.396521327000016</v>
      </c>
      <c r="BA270" s="716">
        <f t="shared" si="197"/>
        <v>-47.505076715000015</v>
      </c>
      <c r="BB270" s="716">
        <f t="shared" si="197"/>
        <v>-47.615960077000011</v>
      </c>
      <c r="BC270" s="716">
        <f t="shared" si="197"/>
        <v>-47.72709651800001</v>
      </c>
      <c r="BD270" s="716">
        <f t="shared" si="197"/>
        <v>-47.841342075</v>
      </c>
      <c r="BE270" s="716">
        <f t="shared" si="197"/>
        <v>-47.957764563000012</v>
      </c>
      <c r="BF270" s="716">
        <f t="shared" si="197"/>
        <v>-48.076829193000009</v>
      </c>
      <c r="BG270" s="716">
        <f t="shared" si="197"/>
        <v>-48.200983031000007</v>
      </c>
      <c r="BH270" s="716">
        <f t="shared" si="197"/>
        <v>-48.329620404000011</v>
      </c>
      <c r="BI270" s="716">
        <f t="shared" si="197"/>
        <v>-48.463061111000016</v>
      </c>
      <c r="BJ270" s="716">
        <f t="shared" si="197"/>
        <v>-48.599574127000011</v>
      </c>
      <c r="BK270" s="716">
        <f t="shared" si="197"/>
        <v>-48.739771978000022</v>
      </c>
      <c r="BL270" s="716">
        <f t="shared" si="197"/>
        <v>-48.883435324000004</v>
      </c>
      <c r="BM270" s="716">
        <f t="shared" si="197"/>
        <v>-49.031686807</v>
      </c>
      <c r="BN270" s="716">
        <f t="shared" si="197"/>
        <v>-49.186024496999991</v>
      </c>
      <c r="BO270" s="716">
        <f t="shared" si="197"/>
        <v>-49.345620189000016</v>
      </c>
      <c r="BP270" s="716">
        <f t="shared" si="197"/>
        <v>-49.512022221000009</v>
      </c>
      <c r="BQ270" s="716">
        <f t="shared" si="197"/>
        <v>-49.684160539999993</v>
      </c>
      <c r="BR270" s="716">
        <f t="shared" si="197"/>
        <v>-49.862011675000019</v>
      </c>
      <c r="BS270" s="716">
        <f t="shared" si="197"/>
        <v>-50.042640647000013</v>
      </c>
      <c r="BT270" s="716">
        <f t="shared" ref="BT270:CI270" si="198">BT223-BT266</f>
        <v>-50.226984895000001</v>
      </c>
      <c r="BU270" s="716">
        <f t="shared" si="198"/>
        <v>-50.414575916999993</v>
      </c>
      <c r="BV270" s="716">
        <f t="shared" si="198"/>
        <v>-50.606218211000012</v>
      </c>
      <c r="BW270" s="716">
        <f t="shared" si="198"/>
        <v>-50.79879759100001</v>
      </c>
      <c r="BX270" s="716">
        <f t="shared" si="198"/>
        <v>-50.993642222000005</v>
      </c>
      <c r="BY270" s="716">
        <f t="shared" si="198"/>
        <v>-51.190533108000011</v>
      </c>
      <c r="BZ270" s="716">
        <f t="shared" si="198"/>
        <v>-51.390015670000025</v>
      </c>
      <c r="CA270" s="716">
        <f t="shared" si="198"/>
        <v>-51.590530361000006</v>
      </c>
      <c r="CB270" s="716">
        <f t="shared" si="198"/>
        <v>-51.792306336999999</v>
      </c>
      <c r="CC270" s="716">
        <f t="shared" si="198"/>
        <v>-51.993081392000008</v>
      </c>
      <c r="CD270" s="716">
        <f t="shared" si="198"/>
        <v>-52.194571425000021</v>
      </c>
      <c r="CE270" s="716">
        <f t="shared" si="198"/>
        <v>-52.395038975000006</v>
      </c>
      <c r="CF270" s="716">
        <f t="shared" si="198"/>
        <v>-52.594434532999998</v>
      </c>
      <c r="CG270" s="716">
        <f t="shared" si="198"/>
        <v>-52.791690304000014</v>
      </c>
      <c r="CH270" s="716">
        <f t="shared" si="198"/>
        <v>-52.910460225000008</v>
      </c>
      <c r="CI270" s="717">
        <f t="shared" si="198"/>
        <v>-53.026825886000012</v>
      </c>
      <c r="CJ270" s="1410"/>
    </row>
    <row r="271" spans="1:89" s="64" customFormat="1" ht="14.5" thickBot="1" x14ac:dyDescent="0.4">
      <c r="A271" s="58"/>
      <c r="B271" s="1157" t="s">
        <v>467</v>
      </c>
      <c r="C271" s="1158" t="s">
        <v>468</v>
      </c>
      <c r="D271" s="1159" t="s">
        <v>469</v>
      </c>
      <c r="E271" s="1158" t="s">
        <v>305</v>
      </c>
      <c r="F271" s="1160">
        <v>2</v>
      </c>
      <c r="G271" s="1167">
        <f>G206-G225</f>
        <v>0</v>
      </c>
      <c r="H271" s="1168">
        <f t="shared" ref="H271:BS271" si="199">H206-H225</f>
        <v>0</v>
      </c>
      <c r="I271" s="1168">
        <f t="shared" si="199"/>
        <v>0</v>
      </c>
      <c r="J271" s="1168">
        <f t="shared" si="199"/>
        <v>0</v>
      </c>
      <c r="K271" s="1168">
        <f t="shared" si="199"/>
        <v>0</v>
      </c>
      <c r="L271" s="1168">
        <f t="shared" si="199"/>
        <v>0</v>
      </c>
      <c r="M271" s="1168">
        <f t="shared" si="199"/>
        <v>0</v>
      </c>
      <c r="N271" s="1168">
        <f t="shared" si="199"/>
        <v>0</v>
      </c>
      <c r="O271" s="1168">
        <f t="shared" si="199"/>
        <v>0</v>
      </c>
      <c r="P271" s="1168">
        <f t="shared" si="199"/>
        <v>0</v>
      </c>
      <c r="Q271" s="1168">
        <f t="shared" si="199"/>
        <v>0</v>
      </c>
      <c r="R271" s="1168">
        <f t="shared" si="199"/>
        <v>0</v>
      </c>
      <c r="S271" s="1168">
        <f t="shared" si="199"/>
        <v>0</v>
      </c>
      <c r="T271" s="1168">
        <f t="shared" si="199"/>
        <v>0</v>
      </c>
      <c r="U271" s="1168">
        <f t="shared" si="199"/>
        <v>0</v>
      </c>
      <c r="V271" s="1168">
        <f t="shared" si="199"/>
        <v>0</v>
      </c>
      <c r="W271" s="1168">
        <f t="shared" si="199"/>
        <v>0</v>
      </c>
      <c r="X271" s="1168">
        <f t="shared" si="199"/>
        <v>0</v>
      </c>
      <c r="Y271" s="1168">
        <f t="shared" si="199"/>
        <v>0</v>
      </c>
      <c r="Z271" s="1168">
        <f t="shared" si="199"/>
        <v>0</v>
      </c>
      <c r="AA271" s="1168">
        <f t="shared" si="199"/>
        <v>0</v>
      </c>
      <c r="AB271" s="1168">
        <f t="shared" si="199"/>
        <v>0</v>
      </c>
      <c r="AC271" s="1168">
        <f t="shared" si="199"/>
        <v>0</v>
      </c>
      <c r="AD271" s="1168">
        <f t="shared" si="199"/>
        <v>0</v>
      </c>
      <c r="AE271" s="1168">
        <f t="shared" si="199"/>
        <v>0</v>
      </c>
      <c r="AF271" s="1168">
        <f t="shared" si="199"/>
        <v>0</v>
      </c>
      <c r="AG271" s="1168">
        <f t="shared" si="199"/>
        <v>0</v>
      </c>
      <c r="AH271" s="1168">
        <f t="shared" si="199"/>
        <v>0</v>
      </c>
      <c r="AI271" s="1168">
        <f t="shared" si="199"/>
        <v>0</v>
      </c>
      <c r="AJ271" s="1168">
        <f t="shared" si="199"/>
        <v>0</v>
      </c>
      <c r="AK271" s="1168">
        <f t="shared" si="199"/>
        <v>0</v>
      </c>
      <c r="AL271" s="1168">
        <f t="shared" si="199"/>
        <v>0</v>
      </c>
      <c r="AM271" s="1168">
        <f t="shared" si="199"/>
        <v>0</v>
      </c>
      <c r="AN271" s="1168">
        <f t="shared" si="199"/>
        <v>0</v>
      </c>
      <c r="AO271" s="1168">
        <f t="shared" si="199"/>
        <v>0</v>
      </c>
      <c r="AP271" s="1168">
        <f t="shared" si="199"/>
        <v>0</v>
      </c>
      <c r="AQ271" s="1168">
        <f t="shared" si="199"/>
        <v>0</v>
      </c>
      <c r="AR271" s="1168">
        <f t="shared" si="199"/>
        <v>0</v>
      </c>
      <c r="AS271" s="1168">
        <f t="shared" si="199"/>
        <v>0</v>
      </c>
      <c r="AT271" s="1168">
        <f t="shared" si="199"/>
        <v>0</v>
      </c>
      <c r="AU271" s="1168">
        <f t="shared" si="199"/>
        <v>0</v>
      </c>
      <c r="AV271" s="1168">
        <f t="shared" si="199"/>
        <v>0</v>
      </c>
      <c r="AW271" s="1168">
        <f t="shared" si="199"/>
        <v>0</v>
      </c>
      <c r="AX271" s="1168">
        <f t="shared" si="199"/>
        <v>0</v>
      </c>
      <c r="AY271" s="1168">
        <f t="shared" si="199"/>
        <v>0</v>
      </c>
      <c r="AZ271" s="1168">
        <f t="shared" si="199"/>
        <v>0</v>
      </c>
      <c r="BA271" s="1168">
        <f t="shared" si="199"/>
        <v>0</v>
      </c>
      <c r="BB271" s="1168">
        <f t="shared" si="199"/>
        <v>0</v>
      </c>
      <c r="BC271" s="1168">
        <f t="shared" si="199"/>
        <v>0</v>
      </c>
      <c r="BD271" s="1168">
        <f t="shared" si="199"/>
        <v>0</v>
      </c>
      <c r="BE271" s="1168">
        <f t="shared" si="199"/>
        <v>0</v>
      </c>
      <c r="BF271" s="1168">
        <f t="shared" si="199"/>
        <v>0</v>
      </c>
      <c r="BG271" s="1168">
        <f t="shared" si="199"/>
        <v>0</v>
      </c>
      <c r="BH271" s="1168">
        <f t="shared" si="199"/>
        <v>0</v>
      </c>
      <c r="BI271" s="1168">
        <f t="shared" si="199"/>
        <v>0</v>
      </c>
      <c r="BJ271" s="1168">
        <f t="shared" si="199"/>
        <v>0</v>
      </c>
      <c r="BK271" s="1168">
        <f t="shared" si="199"/>
        <v>0</v>
      </c>
      <c r="BL271" s="1168">
        <f t="shared" si="199"/>
        <v>0</v>
      </c>
      <c r="BM271" s="1168">
        <f t="shared" si="199"/>
        <v>0</v>
      </c>
      <c r="BN271" s="1168">
        <f t="shared" si="199"/>
        <v>0</v>
      </c>
      <c r="BO271" s="1168">
        <f t="shared" si="199"/>
        <v>0</v>
      </c>
      <c r="BP271" s="1168">
        <f t="shared" si="199"/>
        <v>0</v>
      </c>
      <c r="BQ271" s="1168">
        <f t="shared" si="199"/>
        <v>0</v>
      </c>
      <c r="BR271" s="1168">
        <f t="shared" si="199"/>
        <v>0</v>
      </c>
      <c r="BS271" s="1168">
        <f t="shared" si="199"/>
        <v>0</v>
      </c>
      <c r="BT271" s="1168">
        <f t="shared" ref="BT271:CI271" si="200">BT206-BT225</f>
        <v>0</v>
      </c>
      <c r="BU271" s="1168">
        <f t="shared" si="200"/>
        <v>0</v>
      </c>
      <c r="BV271" s="1168">
        <f t="shared" si="200"/>
        <v>0</v>
      </c>
      <c r="BW271" s="1168">
        <f t="shared" si="200"/>
        <v>0</v>
      </c>
      <c r="BX271" s="1168">
        <f t="shared" si="200"/>
        <v>0</v>
      </c>
      <c r="BY271" s="1168">
        <f t="shared" si="200"/>
        <v>0</v>
      </c>
      <c r="BZ271" s="1168">
        <f t="shared" si="200"/>
        <v>0</v>
      </c>
      <c r="CA271" s="1168">
        <f t="shared" si="200"/>
        <v>0</v>
      </c>
      <c r="CB271" s="1168">
        <f t="shared" si="200"/>
        <v>0</v>
      </c>
      <c r="CC271" s="1168">
        <f t="shared" si="200"/>
        <v>0</v>
      </c>
      <c r="CD271" s="1168">
        <f t="shared" si="200"/>
        <v>0</v>
      </c>
      <c r="CE271" s="1168">
        <f t="shared" si="200"/>
        <v>0</v>
      </c>
      <c r="CF271" s="1168">
        <f t="shared" si="200"/>
        <v>0</v>
      </c>
      <c r="CG271" s="1168">
        <f t="shared" si="200"/>
        <v>0</v>
      </c>
      <c r="CH271" s="1168">
        <f t="shared" si="200"/>
        <v>0</v>
      </c>
      <c r="CI271" s="1168">
        <f t="shared" si="200"/>
        <v>0</v>
      </c>
      <c r="CJ271" s="1410"/>
    </row>
    <row r="272" spans="1:89" s="64" customFormat="1" ht="14.5" thickBot="1" x14ac:dyDescent="0.4">
      <c r="A272" s="58"/>
      <c r="B272" s="972" t="s">
        <v>470</v>
      </c>
      <c r="C272" s="973" t="s">
        <v>471</v>
      </c>
      <c r="D272" s="974" t="s">
        <v>633</v>
      </c>
      <c r="E272" s="973" t="s">
        <v>305</v>
      </c>
      <c r="F272" s="975">
        <v>2</v>
      </c>
      <c r="G272" s="725">
        <f>G270-G269</f>
        <v>46.439999999999984</v>
      </c>
      <c r="H272" s="725">
        <f t="shared" ref="H272:BS272" si="201">H270-H269</f>
        <v>44.396440309999988</v>
      </c>
      <c r="I272" s="725">
        <f t="shared" si="201"/>
        <v>37.136337049999995</v>
      </c>
      <c r="J272" s="725">
        <f t="shared" si="201"/>
        <v>32.414988152852494</v>
      </c>
      <c r="K272" s="725">
        <f t="shared" si="201"/>
        <v>31.88545472545389</v>
      </c>
      <c r="L272" s="725">
        <f t="shared" si="201"/>
        <v>32.901788957342085</v>
      </c>
      <c r="M272" s="726">
        <f t="shared" si="201"/>
        <v>18.628401096236495</v>
      </c>
      <c r="N272" s="726">
        <f t="shared" si="201"/>
        <v>17.130036518259878</v>
      </c>
      <c r="O272" s="726">
        <f t="shared" si="201"/>
        <v>15.133201322578977</v>
      </c>
      <c r="P272" s="726">
        <f t="shared" si="201"/>
        <v>13.391135066574648</v>
      </c>
      <c r="Q272" s="726">
        <f t="shared" si="201"/>
        <v>11.871907335210434</v>
      </c>
      <c r="R272" s="726">
        <f t="shared" si="201"/>
        <v>-6.1568653874084083</v>
      </c>
      <c r="S272" s="726">
        <f t="shared" si="201"/>
        <v>-7.2268839677826353</v>
      </c>
      <c r="T272" s="726">
        <f t="shared" si="201"/>
        <v>-8.2310405389759858</v>
      </c>
      <c r="U272" s="726">
        <f t="shared" si="201"/>
        <v>-9.3388778939119739</v>
      </c>
      <c r="V272" s="726">
        <f t="shared" si="201"/>
        <v>-10.231483287858579</v>
      </c>
      <c r="W272" s="726">
        <f t="shared" si="201"/>
        <v>-10.035916586988275</v>
      </c>
      <c r="X272" s="726">
        <f t="shared" si="201"/>
        <v>-10.877716769536557</v>
      </c>
      <c r="Y272" s="726">
        <f t="shared" si="201"/>
        <v>-11.652303372908046</v>
      </c>
      <c r="Z272" s="726">
        <f t="shared" si="201"/>
        <v>-12.477034241568688</v>
      </c>
      <c r="AA272" s="726">
        <f t="shared" si="201"/>
        <v>-13.214044700904942</v>
      </c>
      <c r="AB272" s="726">
        <f t="shared" si="201"/>
        <v>-44.956504325570201</v>
      </c>
      <c r="AC272" s="726">
        <f t="shared" si="201"/>
        <v>-45.15954516966098</v>
      </c>
      <c r="AD272" s="726">
        <f t="shared" si="201"/>
        <v>-45.340015708269284</v>
      </c>
      <c r="AE272" s="726">
        <f t="shared" si="201"/>
        <v>-45.860580516751327</v>
      </c>
      <c r="AF272" s="726">
        <f t="shared" si="201"/>
        <v>-45.987720212892334</v>
      </c>
      <c r="AG272" s="726">
        <f t="shared" si="201"/>
        <v>-46.432035478705245</v>
      </c>
      <c r="AH272" s="726">
        <f t="shared" si="201"/>
        <v>-46.63358189641103</v>
      </c>
      <c r="AI272" s="726">
        <f t="shared" si="201"/>
        <v>-46.826854289782219</v>
      </c>
      <c r="AJ272" s="726">
        <f t="shared" si="201"/>
        <v>-47.11966411155143</v>
      </c>
      <c r="AK272" s="726">
        <f t="shared" si="201"/>
        <v>-47.023966417338272</v>
      </c>
      <c r="AL272" s="726">
        <f t="shared" si="201"/>
        <v>-47.411530938915007</v>
      </c>
      <c r="AM272" s="726">
        <f t="shared" si="201"/>
        <v>-47.505139928426779</v>
      </c>
      <c r="AN272" s="726">
        <f t="shared" si="201"/>
        <v>-47.639502835837895</v>
      </c>
      <c r="AO272" s="726">
        <f t="shared" si="201"/>
        <v>-47.781455578577521</v>
      </c>
      <c r="AP272" s="726">
        <f t="shared" si="201"/>
        <v>-47.790762652948189</v>
      </c>
      <c r="AQ272" s="726">
        <f t="shared" si="201"/>
        <v>-48.035392989704512</v>
      </c>
      <c r="AR272" s="726">
        <f t="shared" si="201"/>
        <v>-48.076577822254634</v>
      </c>
      <c r="AS272" s="726">
        <f t="shared" si="201"/>
        <v>-48.142303123651608</v>
      </c>
      <c r="AT272" s="726">
        <f t="shared" si="201"/>
        <v>-48.342867828984318</v>
      </c>
      <c r="AU272" s="726">
        <f t="shared" si="201"/>
        <v>-48.33525955104097</v>
      </c>
      <c r="AV272" s="726">
        <f t="shared" si="201"/>
        <v>-48.420892982519931</v>
      </c>
      <c r="AW272" s="726">
        <f t="shared" si="201"/>
        <v>-48.423398891093825</v>
      </c>
      <c r="AX272" s="726">
        <f t="shared" si="201"/>
        <v>-48.472859051021011</v>
      </c>
      <c r="AY272" s="726">
        <f t="shared" si="201"/>
        <v>-48.739769173033579</v>
      </c>
      <c r="AZ272" s="726">
        <f t="shared" si="201"/>
        <v>-48.604346116629387</v>
      </c>
      <c r="BA272" s="726">
        <f t="shared" si="201"/>
        <v>-48.834346515585018</v>
      </c>
      <c r="BB272" s="726">
        <f t="shared" si="201"/>
        <v>-48.815651256066438</v>
      </c>
      <c r="BC272" s="726">
        <f t="shared" si="201"/>
        <v>-48.964725308341613</v>
      </c>
      <c r="BD272" s="726">
        <f t="shared" si="201"/>
        <v>-48.93743478440787</v>
      </c>
      <c r="BE272" s="726">
        <f t="shared" si="201"/>
        <v>-48.787710544542733</v>
      </c>
      <c r="BF272" s="726">
        <f t="shared" si="201"/>
        <v>-49.176204140686281</v>
      </c>
      <c r="BG272" s="726">
        <f t="shared" si="201"/>
        <v>-49.156166779248537</v>
      </c>
      <c r="BH272" s="726">
        <f t="shared" si="201"/>
        <v>-49.424123363082408</v>
      </c>
      <c r="BI272" s="726">
        <f t="shared" si="201"/>
        <v>-49.545705888204395</v>
      </c>
      <c r="BJ272" s="726">
        <f t="shared" si="201"/>
        <v>-49.409615709867346</v>
      </c>
      <c r="BK272" s="726">
        <f t="shared" si="201"/>
        <v>-49.816105385745274</v>
      </c>
      <c r="BL272" s="726">
        <f t="shared" si="201"/>
        <v>-49.69901182945933</v>
      </c>
      <c r="BM272" s="726">
        <f t="shared" si="201"/>
        <v>-49.821158295477488</v>
      </c>
      <c r="BN272" s="726">
        <f t="shared" si="201"/>
        <v>-49.997336440743688</v>
      </c>
      <c r="BO272" s="726">
        <f t="shared" si="201"/>
        <v>-50.261812708871808</v>
      </c>
      <c r="BP272" s="726">
        <f t="shared" si="201"/>
        <v>-50.396556119730882</v>
      </c>
      <c r="BQ272" s="726">
        <f t="shared" si="201"/>
        <v>-50.524900546418607</v>
      </c>
      <c r="BR272" s="726">
        <f t="shared" si="201"/>
        <v>-50.496053209004522</v>
      </c>
      <c r="BS272" s="726">
        <f t="shared" si="201"/>
        <v>-50.912627025456246</v>
      </c>
      <c r="BT272" s="726">
        <f t="shared" ref="BT272:CI272" si="202">BT270-BT269</f>
        <v>-50.968699850826773</v>
      </c>
      <c r="BU272" s="726">
        <f t="shared" si="202"/>
        <v>-50.941938107523733</v>
      </c>
      <c r="BV272" s="726">
        <f t="shared" si="202"/>
        <v>-51.409286841846601</v>
      </c>
      <c r="BW272" s="726">
        <f t="shared" si="202"/>
        <v>-51.519083574301106</v>
      </c>
      <c r="BX272" s="726">
        <f t="shared" si="202"/>
        <v>-51.54734248678804</v>
      </c>
      <c r="BY272" s="726">
        <f t="shared" si="202"/>
        <v>-51.886874120869756</v>
      </c>
      <c r="BZ272" s="726">
        <f t="shared" si="202"/>
        <v>-52.202543546285973</v>
      </c>
      <c r="CA272" s="726">
        <f t="shared" si="202"/>
        <v>-52.404535303934885</v>
      </c>
      <c r="CB272" s="726">
        <f t="shared" si="202"/>
        <v>-52.518290802868457</v>
      </c>
      <c r="CC272" s="726">
        <f t="shared" si="202"/>
        <v>-52.679847651927759</v>
      </c>
      <c r="CD272" s="726">
        <f t="shared" si="202"/>
        <v>-52.695361014707203</v>
      </c>
      <c r="CE272" s="726">
        <f t="shared" si="202"/>
        <v>-53.066942526641711</v>
      </c>
      <c r="CF272" s="726">
        <f t="shared" si="202"/>
        <v>-53.178242341177622</v>
      </c>
      <c r="CG272" s="726">
        <f t="shared" si="202"/>
        <v>-53.44196560536848</v>
      </c>
      <c r="CH272" s="726">
        <f t="shared" si="202"/>
        <v>-53.482227527071224</v>
      </c>
      <c r="CI272" s="727">
        <f t="shared" si="202"/>
        <v>-53.835678029804129</v>
      </c>
      <c r="CJ272" s="1410"/>
    </row>
    <row r="273" spans="2:87" ht="14.5" thickBot="1" x14ac:dyDescent="0.4">
      <c r="B273" s="728"/>
      <c r="C273" s="729"/>
      <c r="D273" s="63"/>
      <c r="E273" s="729"/>
      <c r="F273" s="730"/>
      <c r="G273" s="731"/>
      <c r="H273" s="731"/>
      <c r="I273" s="731"/>
      <c r="J273" s="731"/>
      <c r="K273" s="731"/>
      <c r="L273" s="731"/>
      <c r="M273" s="731"/>
      <c r="N273" s="731"/>
      <c r="O273" s="731"/>
      <c r="P273" s="731"/>
      <c r="Q273" s="731"/>
      <c r="R273" s="731"/>
      <c r="S273" s="731"/>
      <c r="T273" s="731"/>
      <c r="U273" s="731"/>
      <c r="V273" s="731"/>
      <c r="W273" s="731"/>
      <c r="X273" s="731"/>
      <c r="Y273" s="731"/>
      <c r="Z273" s="731"/>
      <c r="AA273" s="731"/>
      <c r="AB273" s="731"/>
      <c r="AC273" s="731"/>
      <c r="AD273" s="731"/>
      <c r="AE273" s="731"/>
      <c r="AF273" s="731"/>
      <c r="AG273" s="731"/>
      <c r="AH273" s="731"/>
      <c r="AI273" s="731"/>
      <c r="AJ273" s="731"/>
      <c r="AK273" s="731"/>
      <c r="AL273" s="731"/>
      <c r="AM273" s="731"/>
      <c r="AN273" s="731"/>
      <c r="AO273" s="731"/>
      <c r="AP273" s="731"/>
      <c r="AQ273" s="731"/>
      <c r="AR273" s="731"/>
      <c r="AS273" s="731"/>
      <c r="AT273" s="731"/>
      <c r="AU273" s="731"/>
      <c r="AV273" s="731"/>
      <c r="AW273" s="731"/>
      <c r="AX273" s="731"/>
      <c r="AY273" s="731"/>
      <c r="AZ273" s="731"/>
      <c r="BA273" s="731"/>
      <c r="BB273" s="731"/>
      <c r="BC273" s="731"/>
      <c r="BD273" s="731"/>
      <c r="BE273" s="731"/>
      <c r="BF273" s="731"/>
      <c r="BG273" s="731"/>
      <c r="BH273" s="731"/>
      <c r="BI273" s="731"/>
      <c r="BJ273" s="731"/>
      <c r="BK273" s="731"/>
      <c r="BL273" s="731"/>
      <c r="BM273" s="731"/>
      <c r="BN273" s="731"/>
      <c r="BO273" s="731"/>
      <c r="BP273" s="731"/>
      <c r="BQ273" s="731"/>
      <c r="BR273" s="731"/>
      <c r="BS273" s="731"/>
      <c r="BT273" s="731"/>
      <c r="BU273" s="731"/>
      <c r="BV273" s="731"/>
      <c r="BW273" s="731"/>
      <c r="BX273" s="731"/>
      <c r="BY273" s="731"/>
      <c r="BZ273" s="731"/>
      <c r="CA273" s="731"/>
      <c r="CB273" s="731"/>
      <c r="CC273" s="731"/>
      <c r="CD273" s="731"/>
      <c r="CE273" s="731"/>
      <c r="CF273" s="731"/>
      <c r="CG273" s="731"/>
      <c r="CH273" s="731"/>
      <c r="CI273" s="731"/>
    </row>
    <row r="274" spans="2:87" ht="14.5" thickBot="1" x14ac:dyDescent="0.4">
      <c r="B274" s="976" t="s">
        <v>634</v>
      </c>
      <c r="C274" s="729"/>
      <c r="D274" s="63"/>
      <c r="E274" s="729"/>
      <c r="F274" s="730"/>
      <c r="G274" s="731"/>
      <c r="H274" s="731"/>
      <c r="I274" s="731"/>
      <c r="J274" s="731"/>
      <c r="K274" s="731"/>
      <c r="L274" s="731"/>
      <c r="M274" s="731"/>
      <c r="N274" s="731"/>
      <c r="O274" s="731"/>
      <c r="P274" s="731"/>
      <c r="Q274" s="731"/>
      <c r="R274" s="731"/>
      <c r="S274" s="731"/>
      <c r="T274" s="731"/>
      <c r="U274" s="731"/>
      <c r="V274" s="731"/>
      <c r="W274" s="731"/>
      <c r="X274" s="731"/>
      <c r="Y274" s="731"/>
      <c r="Z274" s="731"/>
      <c r="AA274" s="731"/>
      <c r="AB274" s="731"/>
      <c r="AC274" s="731"/>
      <c r="AD274" s="731"/>
      <c r="AE274" s="731"/>
      <c r="AF274" s="731"/>
      <c r="AG274" s="731"/>
      <c r="AH274" s="731"/>
      <c r="AI274" s="731"/>
      <c r="AJ274" s="731"/>
      <c r="AK274" s="731"/>
      <c r="AL274" s="731"/>
      <c r="AM274" s="731"/>
      <c r="AN274" s="731"/>
      <c r="AO274" s="731"/>
      <c r="AP274" s="731"/>
      <c r="AQ274" s="731"/>
      <c r="AR274" s="731"/>
      <c r="AS274" s="731"/>
      <c r="AT274" s="731"/>
      <c r="AU274" s="731"/>
      <c r="AV274" s="731"/>
      <c r="AW274" s="731"/>
      <c r="AX274" s="731"/>
      <c r="AY274" s="731"/>
      <c r="AZ274" s="731"/>
      <c r="BA274" s="731"/>
      <c r="BB274" s="731"/>
      <c r="BC274" s="731"/>
      <c r="BD274" s="731"/>
      <c r="BE274" s="731"/>
      <c r="BF274" s="731"/>
      <c r="BG274" s="731"/>
      <c r="BH274" s="731"/>
      <c r="BI274" s="731"/>
      <c r="BJ274" s="731"/>
      <c r="BK274" s="731"/>
      <c r="BL274" s="731"/>
      <c r="BM274" s="731"/>
      <c r="BN274" s="731"/>
      <c r="BO274" s="731"/>
      <c r="BP274" s="731"/>
      <c r="BQ274" s="731"/>
      <c r="BR274" s="731"/>
      <c r="BS274" s="731"/>
      <c r="BT274" s="731"/>
      <c r="BU274" s="731"/>
      <c r="BV274" s="731"/>
      <c r="BW274" s="731"/>
      <c r="BX274" s="731"/>
      <c r="BY274" s="731"/>
      <c r="BZ274" s="731"/>
      <c r="CA274" s="731"/>
      <c r="CB274" s="731"/>
      <c r="CC274" s="731"/>
      <c r="CD274" s="731"/>
      <c r="CE274" s="731"/>
      <c r="CF274" s="731"/>
      <c r="CG274" s="731"/>
      <c r="CH274" s="731"/>
      <c r="CI274" s="731"/>
    </row>
    <row r="275" spans="2:87" ht="14.5" thickBot="1" x14ac:dyDescent="0.4">
      <c r="B275" s="977" t="s">
        <v>217</v>
      </c>
      <c r="C275" s="978" t="s">
        <v>474</v>
      </c>
      <c r="D275" s="978" t="s">
        <v>475</v>
      </c>
      <c r="E275" s="978" t="s">
        <v>219</v>
      </c>
      <c r="F275" s="979" t="s">
        <v>220</v>
      </c>
      <c r="G275" s="980" t="s">
        <v>221</v>
      </c>
      <c r="H275" s="980" t="s">
        <v>222</v>
      </c>
      <c r="I275" s="980" t="s">
        <v>223</v>
      </c>
      <c r="J275" s="980" t="s">
        <v>224</v>
      </c>
      <c r="K275" s="980" t="s">
        <v>225</v>
      </c>
      <c r="L275" s="980" t="s">
        <v>226</v>
      </c>
      <c r="M275" s="978" t="s">
        <v>227</v>
      </c>
      <c r="N275" s="978" t="s">
        <v>228</v>
      </c>
      <c r="O275" s="978" t="s">
        <v>229</v>
      </c>
      <c r="P275" s="978" t="s">
        <v>230</v>
      </c>
      <c r="Q275" s="978" t="s">
        <v>231</v>
      </c>
      <c r="R275" s="978" t="s">
        <v>232</v>
      </c>
      <c r="S275" s="978" t="s">
        <v>233</v>
      </c>
      <c r="T275" s="978" t="s">
        <v>234</v>
      </c>
      <c r="U275" s="978" t="s">
        <v>235</v>
      </c>
      <c r="V275" s="978" t="s">
        <v>236</v>
      </c>
      <c r="W275" s="978" t="s">
        <v>237</v>
      </c>
      <c r="X275" s="978" t="s">
        <v>238</v>
      </c>
      <c r="Y275" s="978" t="s">
        <v>239</v>
      </c>
      <c r="Z275" s="978" t="s">
        <v>240</v>
      </c>
      <c r="AA275" s="978" t="s">
        <v>241</v>
      </c>
      <c r="AB275" s="978" t="s">
        <v>242</v>
      </c>
      <c r="AC275" s="978" t="s">
        <v>243</v>
      </c>
      <c r="AD275" s="978" t="s">
        <v>244</v>
      </c>
      <c r="AE275" s="978" t="s">
        <v>245</v>
      </c>
      <c r="AF275" s="978" t="s">
        <v>246</v>
      </c>
      <c r="AG275" s="978" t="s">
        <v>247</v>
      </c>
      <c r="AH275" s="978" t="s">
        <v>248</v>
      </c>
      <c r="AI275" s="978" t="s">
        <v>249</v>
      </c>
      <c r="AJ275" s="978" t="s">
        <v>250</v>
      </c>
      <c r="AK275" s="978" t="s">
        <v>251</v>
      </c>
      <c r="AL275" s="978" t="s">
        <v>252</v>
      </c>
      <c r="AM275" s="978" t="s">
        <v>253</v>
      </c>
      <c r="AN275" s="978" t="s">
        <v>254</v>
      </c>
      <c r="AO275" s="978" t="s">
        <v>255</v>
      </c>
      <c r="AP275" s="978" t="s">
        <v>256</v>
      </c>
      <c r="AQ275" s="978" t="s">
        <v>257</v>
      </c>
      <c r="AR275" s="978" t="s">
        <v>258</v>
      </c>
      <c r="AS275" s="978" t="s">
        <v>259</v>
      </c>
      <c r="AT275" s="978" t="s">
        <v>260</v>
      </c>
      <c r="AU275" s="978" t="s">
        <v>261</v>
      </c>
      <c r="AV275" s="978" t="s">
        <v>262</v>
      </c>
      <c r="AW275" s="978" t="s">
        <v>263</v>
      </c>
      <c r="AX275" s="978" t="s">
        <v>264</v>
      </c>
      <c r="AY275" s="978" t="s">
        <v>265</v>
      </c>
      <c r="AZ275" s="978" t="s">
        <v>266</v>
      </c>
      <c r="BA275" s="978" t="s">
        <v>267</v>
      </c>
      <c r="BB275" s="978" t="s">
        <v>268</v>
      </c>
      <c r="BC275" s="978" t="s">
        <v>269</v>
      </c>
      <c r="BD275" s="978" t="s">
        <v>270</v>
      </c>
      <c r="BE275" s="978" t="s">
        <v>271</v>
      </c>
      <c r="BF275" s="978" t="s">
        <v>272</v>
      </c>
      <c r="BG275" s="978" t="s">
        <v>273</v>
      </c>
      <c r="BH275" s="978" t="s">
        <v>274</v>
      </c>
      <c r="BI275" s="978" t="s">
        <v>275</v>
      </c>
      <c r="BJ275" s="978" t="s">
        <v>276</v>
      </c>
      <c r="BK275" s="978" t="s">
        <v>277</v>
      </c>
      <c r="BL275" s="978" t="s">
        <v>278</v>
      </c>
      <c r="BM275" s="978" t="s">
        <v>279</v>
      </c>
      <c r="BN275" s="978" t="s">
        <v>280</v>
      </c>
      <c r="BO275" s="978" t="s">
        <v>281</v>
      </c>
      <c r="BP275" s="978" t="s">
        <v>282</v>
      </c>
      <c r="BQ275" s="978" t="s">
        <v>283</v>
      </c>
      <c r="BR275" s="978" t="s">
        <v>284</v>
      </c>
      <c r="BS275" s="978" t="s">
        <v>285</v>
      </c>
      <c r="BT275" s="978" t="s">
        <v>286</v>
      </c>
      <c r="BU275" s="978" t="s">
        <v>287</v>
      </c>
      <c r="BV275" s="978" t="s">
        <v>288</v>
      </c>
      <c r="BW275" s="978" t="s">
        <v>289</v>
      </c>
      <c r="BX275" s="978" t="s">
        <v>290</v>
      </c>
      <c r="BY275" s="978" t="s">
        <v>291</v>
      </c>
      <c r="BZ275" s="978" t="s">
        <v>292</v>
      </c>
      <c r="CA275" s="978" t="s">
        <v>293</v>
      </c>
      <c r="CB275" s="978" t="s">
        <v>294</v>
      </c>
      <c r="CC275" s="978" t="s">
        <v>295</v>
      </c>
      <c r="CD275" s="978" t="s">
        <v>296</v>
      </c>
      <c r="CE275" s="978" t="s">
        <v>297</v>
      </c>
      <c r="CF275" s="978" t="s">
        <v>298</v>
      </c>
      <c r="CG275" s="978" t="s">
        <v>299</v>
      </c>
      <c r="CH275" s="978" t="s">
        <v>300</v>
      </c>
      <c r="CI275" s="981" t="s">
        <v>301</v>
      </c>
    </row>
    <row r="276" spans="2:87" ht="28" x14ac:dyDescent="0.35">
      <c r="B276" s="985" t="s">
        <v>481</v>
      </c>
      <c r="C276" s="986" t="s">
        <v>2194</v>
      </c>
      <c r="D276" s="986" t="s">
        <v>483</v>
      </c>
      <c r="E276" s="986" t="s">
        <v>305</v>
      </c>
      <c r="F276" s="987">
        <v>2</v>
      </c>
      <c r="G276" s="749"/>
      <c r="H276" s="750"/>
      <c r="I276" s="750"/>
      <c r="J276" s="750"/>
      <c r="K276" s="750"/>
      <c r="L276" s="750"/>
      <c r="M276" s="744"/>
      <c r="N276" s="744"/>
      <c r="O276" s="744"/>
      <c r="P276" s="744"/>
      <c r="Q276" s="744"/>
      <c r="R276" s="744"/>
      <c r="S276" s="744"/>
      <c r="T276" s="744"/>
      <c r="U276" s="744"/>
      <c r="V276" s="744"/>
      <c r="W276" s="744"/>
      <c r="X276" s="744"/>
      <c r="Y276" s="744"/>
      <c r="Z276" s="744"/>
      <c r="AA276" s="744">
        <v>2</v>
      </c>
      <c r="AB276" s="744">
        <v>2</v>
      </c>
      <c r="AC276" s="744">
        <v>2</v>
      </c>
      <c r="AD276" s="744">
        <v>2</v>
      </c>
      <c r="AE276" s="744">
        <v>2</v>
      </c>
      <c r="AF276" s="744">
        <v>2</v>
      </c>
      <c r="AG276" s="744">
        <v>2</v>
      </c>
      <c r="AH276" s="744">
        <v>2</v>
      </c>
      <c r="AI276" s="744">
        <v>2</v>
      </c>
      <c r="AJ276" s="744">
        <v>2</v>
      </c>
      <c r="AK276" s="744">
        <v>2</v>
      </c>
      <c r="AL276" s="744">
        <v>2</v>
      </c>
      <c r="AM276" s="744">
        <v>2</v>
      </c>
      <c r="AN276" s="744">
        <v>2</v>
      </c>
      <c r="AO276" s="744">
        <v>2</v>
      </c>
      <c r="AP276" s="744">
        <v>2</v>
      </c>
      <c r="AQ276" s="744">
        <v>2</v>
      </c>
      <c r="AR276" s="744">
        <v>2</v>
      </c>
      <c r="AS276" s="744">
        <v>2</v>
      </c>
      <c r="AT276" s="744">
        <v>2</v>
      </c>
      <c r="AU276" s="744">
        <v>2</v>
      </c>
      <c r="AV276" s="744">
        <v>2</v>
      </c>
      <c r="AW276" s="744">
        <v>2</v>
      </c>
      <c r="AX276" s="744">
        <v>2</v>
      </c>
      <c r="AY276" s="744">
        <v>2</v>
      </c>
      <c r="AZ276" s="744">
        <v>2</v>
      </c>
      <c r="BA276" s="744">
        <v>2</v>
      </c>
      <c r="BB276" s="744">
        <v>2</v>
      </c>
      <c r="BC276" s="744">
        <v>2</v>
      </c>
      <c r="BD276" s="744">
        <v>2</v>
      </c>
      <c r="BE276" s="744">
        <v>2</v>
      </c>
      <c r="BF276" s="744">
        <v>2</v>
      </c>
      <c r="BG276" s="744">
        <v>2</v>
      </c>
      <c r="BH276" s="744">
        <v>2</v>
      </c>
      <c r="BI276" s="744">
        <v>2</v>
      </c>
      <c r="BJ276" s="744">
        <v>2</v>
      </c>
      <c r="BK276" s="744">
        <v>2</v>
      </c>
      <c r="BL276" s="744">
        <v>2</v>
      </c>
      <c r="BM276" s="744">
        <v>2</v>
      </c>
      <c r="BN276" s="744">
        <v>2</v>
      </c>
      <c r="BO276" s="744">
        <v>2</v>
      </c>
      <c r="BP276" s="744">
        <v>2</v>
      </c>
      <c r="BQ276" s="744">
        <v>2</v>
      </c>
      <c r="BR276" s="744">
        <v>2</v>
      </c>
      <c r="BS276" s="744">
        <v>2</v>
      </c>
      <c r="BT276" s="744">
        <v>2</v>
      </c>
      <c r="BU276" s="744">
        <v>2</v>
      </c>
      <c r="BV276" s="744">
        <v>2</v>
      </c>
      <c r="BW276" s="744">
        <v>2</v>
      </c>
      <c r="BX276" s="744">
        <v>2</v>
      </c>
      <c r="BY276" s="744">
        <v>2</v>
      </c>
      <c r="BZ276" s="744">
        <v>2</v>
      </c>
      <c r="CA276" s="744">
        <v>2</v>
      </c>
      <c r="CB276" s="744">
        <v>2</v>
      </c>
      <c r="CC276" s="744">
        <v>2</v>
      </c>
      <c r="CD276" s="744">
        <v>2</v>
      </c>
      <c r="CE276" s="744">
        <v>2</v>
      </c>
      <c r="CF276" s="744">
        <v>2</v>
      </c>
      <c r="CG276" s="744">
        <v>2</v>
      </c>
      <c r="CH276" s="744">
        <v>2</v>
      </c>
      <c r="CI276" s="744">
        <v>2</v>
      </c>
    </row>
    <row r="277" spans="2:87" x14ac:dyDescent="0.35">
      <c r="B277" s="982" t="s">
        <v>484</v>
      </c>
      <c r="C277" s="983" t="s">
        <v>2195</v>
      </c>
      <c r="D277" s="983" t="s">
        <v>486</v>
      </c>
      <c r="E277" s="983" t="s">
        <v>305</v>
      </c>
      <c r="F277" s="984">
        <v>2</v>
      </c>
      <c r="G277" s="749"/>
      <c r="H277" s="750"/>
      <c r="I277" s="750"/>
      <c r="J277" s="750"/>
      <c r="K277" s="750"/>
      <c r="L277" s="750"/>
      <c r="M277" s="744"/>
      <c r="N277" s="744"/>
      <c r="O277" s="744"/>
      <c r="P277" s="744"/>
      <c r="Q277" s="744"/>
      <c r="R277" s="744"/>
      <c r="S277" s="744"/>
      <c r="T277" s="744"/>
      <c r="U277" s="744"/>
      <c r="V277" s="744"/>
      <c r="W277" s="744"/>
      <c r="X277" s="744"/>
      <c r="Y277" s="744"/>
      <c r="Z277" s="744"/>
      <c r="AA277" s="744"/>
      <c r="AB277" s="744"/>
      <c r="AC277" s="744"/>
      <c r="AD277" s="744"/>
      <c r="AE277" s="744"/>
      <c r="AF277" s="744"/>
      <c r="AG277" s="744"/>
      <c r="AH277" s="744"/>
      <c r="AI277" s="744"/>
      <c r="AJ277" s="744"/>
      <c r="AK277" s="744"/>
      <c r="AL277" s="744"/>
      <c r="AM277" s="744"/>
      <c r="AN277" s="744"/>
      <c r="AO277" s="744"/>
      <c r="AP277" s="744"/>
      <c r="AQ277" s="744"/>
      <c r="AR277" s="744"/>
      <c r="AS277" s="744"/>
      <c r="AT277" s="744"/>
      <c r="AU277" s="744"/>
      <c r="AV277" s="744"/>
      <c r="AW277" s="744"/>
      <c r="AX277" s="744"/>
      <c r="AY277" s="744"/>
      <c r="AZ277" s="744"/>
      <c r="BA277" s="744"/>
      <c r="BB277" s="744"/>
      <c r="BC277" s="744"/>
      <c r="BD277" s="744"/>
      <c r="BE277" s="744"/>
      <c r="BF277" s="744"/>
      <c r="BG277" s="744"/>
      <c r="BH277" s="744"/>
      <c r="BI277" s="744"/>
      <c r="BJ277" s="744"/>
      <c r="BK277" s="744"/>
      <c r="BL277" s="744"/>
      <c r="BM277" s="744"/>
      <c r="BN277" s="744"/>
      <c r="BO277" s="744"/>
      <c r="BP277" s="744"/>
      <c r="BQ277" s="744"/>
      <c r="BR277" s="744"/>
      <c r="BS277" s="744"/>
      <c r="BT277" s="744"/>
      <c r="BU277" s="744"/>
      <c r="BV277" s="744"/>
      <c r="BW277" s="744"/>
      <c r="BX277" s="744"/>
      <c r="BY277" s="744"/>
      <c r="BZ277" s="744"/>
      <c r="CA277" s="744"/>
      <c r="CB277" s="744"/>
      <c r="CC277" s="744"/>
      <c r="CD277" s="744"/>
      <c r="CE277" s="744"/>
      <c r="CF277" s="744"/>
      <c r="CG277" s="744"/>
      <c r="CH277" s="744"/>
      <c r="CI277" s="744"/>
    </row>
    <row r="278" spans="2:87" x14ac:dyDescent="0.35">
      <c r="B278" s="985" t="s">
        <v>487</v>
      </c>
      <c r="C278" s="986" t="s">
        <v>2196</v>
      </c>
      <c r="D278" s="986" t="s">
        <v>489</v>
      </c>
      <c r="E278" s="986" t="s">
        <v>305</v>
      </c>
      <c r="F278" s="987">
        <v>2</v>
      </c>
      <c r="G278" s="749"/>
      <c r="H278" s="750"/>
      <c r="I278" s="750"/>
      <c r="J278" s="750"/>
      <c r="K278" s="750"/>
      <c r="L278" s="750"/>
      <c r="M278" s="744"/>
      <c r="N278" s="744"/>
      <c r="O278" s="744"/>
      <c r="P278" s="744"/>
      <c r="Q278" s="744"/>
      <c r="R278" s="744"/>
      <c r="S278" s="744">
        <v>25</v>
      </c>
      <c r="T278" s="744">
        <v>26</v>
      </c>
      <c r="U278" s="744">
        <v>26</v>
      </c>
      <c r="V278" s="744">
        <v>26</v>
      </c>
      <c r="W278" s="744">
        <v>26</v>
      </c>
      <c r="X278" s="744">
        <v>44</v>
      </c>
      <c r="Y278" s="744">
        <v>44</v>
      </c>
      <c r="Z278" s="744">
        <v>44</v>
      </c>
      <c r="AA278" s="744">
        <v>44</v>
      </c>
      <c r="AB278" s="744">
        <v>44</v>
      </c>
      <c r="AC278" s="744">
        <v>44</v>
      </c>
      <c r="AD278" s="744">
        <v>44</v>
      </c>
      <c r="AE278" s="744">
        <v>44</v>
      </c>
      <c r="AF278" s="744">
        <v>44</v>
      </c>
      <c r="AG278" s="744">
        <v>44</v>
      </c>
      <c r="AH278" s="744">
        <v>44</v>
      </c>
      <c r="AI278" s="744">
        <v>44</v>
      </c>
      <c r="AJ278" s="744">
        <v>44</v>
      </c>
      <c r="AK278" s="744">
        <v>44</v>
      </c>
      <c r="AL278" s="744">
        <v>44</v>
      </c>
      <c r="AM278" s="744">
        <v>44</v>
      </c>
      <c r="AN278" s="744">
        <v>44</v>
      </c>
      <c r="AO278" s="744">
        <v>44</v>
      </c>
      <c r="AP278" s="744">
        <v>44</v>
      </c>
      <c r="AQ278" s="744">
        <v>44</v>
      </c>
      <c r="AR278" s="744">
        <v>44</v>
      </c>
      <c r="AS278" s="744">
        <v>44</v>
      </c>
      <c r="AT278" s="744">
        <v>44</v>
      </c>
      <c r="AU278" s="744">
        <v>44</v>
      </c>
      <c r="AV278" s="744">
        <v>44</v>
      </c>
      <c r="AW278" s="744">
        <v>44</v>
      </c>
      <c r="AX278" s="744">
        <v>44</v>
      </c>
      <c r="AY278" s="744">
        <v>44</v>
      </c>
      <c r="AZ278" s="744">
        <v>44</v>
      </c>
      <c r="BA278" s="744">
        <v>44</v>
      </c>
      <c r="BB278" s="744">
        <v>44</v>
      </c>
      <c r="BC278" s="744">
        <v>44</v>
      </c>
      <c r="BD278" s="744">
        <v>44</v>
      </c>
      <c r="BE278" s="744">
        <v>44</v>
      </c>
      <c r="BF278" s="744">
        <v>44</v>
      </c>
      <c r="BG278" s="744">
        <v>44</v>
      </c>
      <c r="BH278" s="744">
        <v>44</v>
      </c>
      <c r="BI278" s="744">
        <v>44</v>
      </c>
      <c r="BJ278" s="744">
        <v>44</v>
      </c>
      <c r="BK278" s="744">
        <v>44</v>
      </c>
      <c r="BL278" s="744">
        <v>44</v>
      </c>
      <c r="BM278" s="744">
        <v>44</v>
      </c>
      <c r="BN278" s="744">
        <v>44</v>
      </c>
      <c r="BO278" s="744">
        <v>44</v>
      </c>
      <c r="BP278" s="744">
        <v>44</v>
      </c>
      <c r="BQ278" s="744">
        <v>44</v>
      </c>
      <c r="BR278" s="744">
        <v>44</v>
      </c>
      <c r="BS278" s="744">
        <v>44</v>
      </c>
      <c r="BT278" s="744">
        <v>44</v>
      </c>
      <c r="BU278" s="744">
        <v>44</v>
      </c>
      <c r="BV278" s="744">
        <v>44</v>
      </c>
      <c r="BW278" s="744">
        <v>44</v>
      </c>
      <c r="BX278" s="744">
        <v>44</v>
      </c>
      <c r="BY278" s="744">
        <v>44</v>
      </c>
      <c r="BZ278" s="744">
        <v>44</v>
      </c>
      <c r="CA278" s="744">
        <v>44</v>
      </c>
      <c r="CB278" s="744">
        <v>44</v>
      </c>
      <c r="CC278" s="744">
        <v>44</v>
      </c>
      <c r="CD278" s="744">
        <v>44</v>
      </c>
      <c r="CE278" s="744">
        <v>44</v>
      </c>
      <c r="CF278" s="744">
        <v>44</v>
      </c>
      <c r="CG278" s="744">
        <v>44</v>
      </c>
      <c r="CH278" s="744">
        <v>44</v>
      </c>
      <c r="CI278" s="744">
        <v>44</v>
      </c>
    </row>
    <row r="279" spans="2:87" ht="28" x14ac:dyDescent="0.35">
      <c r="B279" s="985" t="s">
        <v>490</v>
      </c>
      <c r="C279" s="986" t="s">
        <v>2197</v>
      </c>
      <c r="D279" s="986" t="s">
        <v>492</v>
      </c>
      <c r="E279" s="986" t="s">
        <v>305</v>
      </c>
      <c r="F279" s="987">
        <v>2</v>
      </c>
      <c r="G279" s="749"/>
      <c r="H279" s="750"/>
      <c r="I279" s="750"/>
      <c r="J279" s="750"/>
      <c r="K279" s="750"/>
      <c r="L279" s="750"/>
      <c r="M279" s="744"/>
      <c r="N279" s="744"/>
      <c r="O279" s="744"/>
      <c r="P279" s="744"/>
      <c r="Q279" s="744"/>
      <c r="R279" s="744"/>
      <c r="S279" s="744"/>
      <c r="T279" s="744"/>
      <c r="U279" s="744"/>
      <c r="V279" s="744"/>
      <c r="W279" s="744"/>
      <c r="X279" s="744"/>
      <c r="Y279" s="744"/>
      <c r="Z279" s="744"/>
      <c r="AA279" s="744"/>
      <c r="AB279" s="744"/>
      <c r="AC279" s="744"/>
      <c r="AD279" s="744"/>
      <c r="AE279" s="744"/>
      <c r="AF279" s="744"/>
      <c r="AG279" s="744"/>
      <c r="AH279" s="744"/>
      <c r="AI279" s="744"/>
      <c r="AJ279" s="744"/>
      <c r="AK279" s="744"/>
      <c r="AL279" s="744"/>
      <c r="AM279" s="744"/>
      <c r="AN279" s="744"/>
      <c r="AO279" s="744"/>
      <c r="AP279" s="744"/>
      <c r="AQ279" s="744"/>
      <c r="AR279" s="744"/>
      <c r="AS279" s="744"/>
      <c r="AT279" s="744"/>
      <c r="AU279" s="744"/>
      <c r="AV279" s="744"/>
      <c r="AW279" s="744"/>
      <c r="AX279" s="744"/>
      <c r="AY279" s="744"/>
      <c r="AZ279" s="744"/>
      <c r="BA279" s="744"/>
      <c r="BB279" s="744"/>
      <c r="BC279" s="744"/>
      <c r="BD279" s="744"/>
      <c r="BE279" s="744"/>
      <c r="BF279" s="744"/>
      <c r="BG279" s="744"/>
      <c r="BH279" s="744"/>
      <c r="BI279" s="744"/>
      <c r="BJ279" s="744"/>
      <c r="BK279" s="744"/>
      <c r="BL279" s="744"/>
      <c r="BM279" s="744"/>
      <c r="BN279" s="744"/>
      <c r="BO279" s="744"/>
      <c r="BP279" s="744"/>
      <c r="BQ279" s="744"/>
      <c r="BR279" s="744"/>
      <c r="BS279" s="744"/>
      <c r="BT279" s="744"/>
      <c r="BU279" s="744"/>
      <c r="BV279" s="744"/>
      <c r="BW279" s="744"/>
      <c r="BX279" s="744"/>
      <c r="BY279" s="744"/>
      <c r="BZ279" s="744"/>
      <c r="CA279" s="744"/>
      <c r="CB279" s="744"/>
      <c r="CC279" s="744"/>
      <c r="CD279" s="744"/>
      <c r="CE279" s="744"/>
      <c r="CF279" s="744"/>
      <c r="CG279" s="744"/>
      <c r="CH279" s="744"/>
      <c r="CI279" s="744"/>
    </row>
    <row r="280" spans="2:87" ht="28" x14ac:dyDescent="0.35">
      <c r="B280" s="985" t="s">
        <v>493</v>
      </c>
      <c r="C280" s="986" t="s">
        <v>2198</v>
      </c>
      <c r="D280" s="986" t="s">
        <v>495</v>
      </c>
      <c r="E280" s="986" t="s">
        <v>305</v>
      </c>
      <c r="F280" s="987">
        <v>2</v>
      </c>
      <c r="G280" s="749"/>
      <c r="H280" s="750"/>
      <c r="I280" s="750"/>
      <c r="J280" s="750"/>
      <c r="K280" s="750"/>
      <c r="L280" s="750"/>
      <c r="M280" s="744"/>
      <c r="N280" s="744"/>
      <c r="O280" s="744"/>
      <c r="P280" s="744"/>
      <c r="Q280" s="744"/>
      <c r="R280" s="744"/>
      <c r="S280" s="744"/>
      <c r="T280" s="744"/>
      <c r="U280" s="744"/>
      <c r="V280" s="744"/>
      <c r="W280" s="744"/>
      <c r="X280" s="744"/>
      <c r="Y280" s="744"/>
      <c r="Z280" s="744"/>
      <c r="AA280" s="744"/>
      <c r="AB280" s="744"/>
      <c r="AC280" s="744"/>
      <c r="AD280" s="744"/>
      <c r="AE280" s="744"/>
      <c r="AF280" s="744"/>
      <c r="AG280" s="744"/>
      <c r="AH280" s="744"/>
      <c r="AI280" s="744"/>
      <c r="AJ280" s="744"/>
      <c r="AK280" s="744"/>
      <c r="AL280" s="744"/>
      <c r="AM280" s="744"/>
      <c r="AN280" s="744"/>
      <c r="AO280" s="744"/>
      <c r="AP280" s="744"/>
      <c r="AQ280" s="744"/>
      <c r="AR280" s="744"/>
      <c r="AS280" s="744"/>
      <c r="AT280" s="744"/>
      <c r="AU280" s="744"/>
      <c r="AV280" s="744"/>
      <c r="AW280" s="744"/>
      <c r="AX280" s="744"/>
      <c r="AY280" s="744"/>
      <c r="AZ280" s="744"/>
      <c r="BA280" s="744"/>
      <c r="BB280" s="744"/>
      <c r="BC280" s="744"/>
      <c r="BD280" s="744"/>
      <c r="BE280" s="744"/>
      <c r="BF280" s="744"/>
      <c r="BG280" s="744"/>
      <c r="BH280" s="744"/>
      <c r="BI280" s="744"/>
      <c r="BJ280" s="744"/>
      <c r="BK280" s="744"/>
      <c r="BL280" s="744"/>
      <c r="BM280" s="744"/>
      <c r="BN280" s="744"/>
      <c r="BO280" s="744"/>
      <c r="BP280" s="744"/>
      <c r="BQ280" s="744"/>
      <c r="BR280" s="744"/>
      <c r="BS280" s="744"/>
      <c r="BT280" s="744"/>
      <c r="BU280" s="744"/>
      <c r="BV280" s="744"/>
      <c r="BW280" s="744"/>
      <c r="BX280" s="744"/>
      <c r="BY280" s="744"/>
      <c r="BZ280" s="744"/>
      <c r="CA280" s="744"/>
      <c r="CB280" s="744"/>
      <c r="CC280" s="744"/>
      <c r="CD280" s="744"/>
      <c r="CE280" s="744"/>
      <c r="CF280" s="744"/>
      <c r="CG280" s="744"/>
      <c r="CH280" s="744"/>
      <c r="CI280" s="744"/>
    </row>
    <row r="281" spans="2:87" ht="28" x14ac:dyDescent="0.35">
      <c r="B281" s="988" t="s">
        <v>496</v>
      </c>
      <c r="C281" s="989" t="s">
        <v>497</v>
      </c>
      <c r="D281" s="989" t="s">
        <v>498</v>
      </c>
      <c r="E281" s="989" t="s">
        <v>305</v>
      </c>
      <c r="F281" s="987">
        <v>2</v>
      </c>
      <c r="G281" s="749"/>
      <c r="H281" s="750"/>
      <c r="I281" s="750"/>
      <c r="J281" s="750"/>
      <c r="K281" s="750"/>
      <c r="L281" s="750"/>
      <c r="M281" s="744"/>
      <c r="N281" s="744"/>
      <c r="O281" s="744"/>
      <c r="P281" s="744"/>
      <c r="Q281" s="744"/>
      <c r="R281" s="744">
        <v>11.52</v>
      </c>
      <c r="S281" s="744"/>
      <c r="T281" s="744"/>
      <c r="U281" s="744"/>
      <c r="V281" s="744"/>
      <c r="W281" s="744"/>
      <c r="X281" s="744"/>
      <c r="Y281" s="744"/>
      <c r="Z281" s="744"/>
      <c r="AA281" s="744"/>
      <c r="AB281" s="744"/>
      <c r="AC281" s="744"/>
      <c r="AD281" s="744"/>
      <c r="AE281" s="744"/>
      <c r="AF281" s="744"/>
      <c r="AG281" s="744"/>
      <c r="AH281" s="744"/>
      <c r="AI281" s="744"/>
      <c r="AJ281" s="744"/>
      <c r="AK281" s="744"/>
      <c r="AL281" s="744"/>
      <c r="AM281" s="744"/>
      <c r="AN281" s="744"/>
      <c r="AO281" s="744"/>
      <c r="AP281" s="744"/>
      <c r="AQ281" s="744"/>
      <c r="AR281" s="744"/>
      <c r="AS281" s="744"/>
      <c r="AT281" s="744"/>
      <c r="AU281" s="744"/>
      <c r="AV281" s="744"/>
      <c r="AW281" s="744"/>
      <c r="AX281" s="744"/>
      <c r="AY281" s="744"/>
      <c r="AZ281" s="744"/>
      <c r="BA281" s="744"/>
      <c r="BB281" s="744"/>
      <c r="BC281" s="744"/>
      <c r="BD281" s="744"/>
      <c r="BE281" s="744"/>
      <c r="BF281" s="744"/>
      <c r="BG281" s="744"/>
      <c r="BH281" s="744"/>
      <c r="BI281" s="744"/>
      <c r="BJ281" s="744"/>
      <c r="BK281" s="744"/>
      <c r="BL281" s="744"/>
      <c r="BM281" s="744"/>
      <c r="BN281" s="744"/>
      <c r="BO281" s="744"/>
      <c r="BP281" s="744"/>
      <c r="BQ281" s="744"/>
      <c r="BR281" s="744"/>
      <c r="BS281" s="744"/>
      <c r="BT281" s="744"/>
      <c r="BU281" s="744"/>
      <c r="BV281" s="744"/>
      <c r="BW281" s="744"/>
      <c r="BX281" s="744"/>
      <c r="BY281" s="744"/>
      <c r="BZ281" s="744"/>
      <c r="CA281" s="744"/>
      <c r="CB281" s="744"/>
      <c r="CC281" s="744"/>
      <c r="CD281" s="744"/>
      <c r="CE281" s="744"/>
      <c r="CF281" s="744"/>
      <c r="CG281" s="744"/>
      <c r="CH281" s="744"/>
      <c r="CI281" s="744"/>
    </row>
    <row r="282" spans="2:87" x14ac:dyDescent="0.35">
      <c r="B282" s="985" t="s">
        <v>499</v>
      </c>
      <c r="C282" s="986" t="s">
        <v>500</v>
      </c>
      <c r="D282" s="986" t="s">
        <v>501</v>
      </c>
      <c r="E282" s="986" t="s">
        <v>305</v>
      </c>
      <c r="F282" s="987">
        <v>2</v>
      </c>
      <c r="G282" s="749"/>
      <c r="H282" s="750"/>
      <c r="I282" s="750"/>
      <c r="J282" s="750"/>
      <c r="K282" s="750"/>
      <c r="L282" s="750"/>
      <c r="M282" s="744"/>
      <c r="N282" s="744"/>
      <c r="O282" s="744"/>
      <c r="P282" s="744"/>
      <c r="Q282" s="744"/>
      <c r="R282" s="744"/>
      <c r="S282" s="744"/>
      <c r="T282" s="744"/>
      <c r="U282" s="744"/>
      <c r="V282" s="744"/>
      <c r="W282" s="744"/>
      <c r="X282" s="744"/>
      <c r="Y282" s="744"/>
      <c r="Z282" s="744"/>
      <c r="AA282" s="744"/>
      <c r="AB282" s="744">
        <v>7</v>
      </c>
      <c r="AC282" s="744">
        <v>7</v>
      </c>
      <c r="AD282" s="744">
        <v>7</v>
      </c>
      <c r="AE282" s="744">
        <v>7</v>
      </c>
      <c r="AF282" s="744">
        <v>7</v>
      </c>
      <c r="AG282" s="744">
        <v>7</v>
      </c>
      <c r="AH282" s="744">
        <v>7</v>
      </c>
      <c r="AI282" s="744">
        <v>7</v>
      </c>
      <c r="AJ282" s="744">
        <v>7</v>
      </c>
      <c r="AK282" s="744">
        <v>7</v>
      </c>
      <c r="AL282" s="744">
        <v>7</v>
      </c>
      <c r="AM282" s="744">
        <v>7</v>
      </c>
      <c r="AN282" s="744">
        <v>7</v>
      </c>
      <c r="AO282" s="744">
        <v>7</v>
      </c>
      <c r="AP282" s="744">
        <v>7</v>
      </c>
      <c r="AQ282" s="744">
        <v>7</v>
      </c>
      <c r="AR282" s="744">
        <v>7</v>
      </c>
      <c r="AS282" s="744">
        <v>7</v>
      </c>
      <c r="AT282" s="744">
        <v>7</v>
      </c>
      <c r="AU282" s="744">
        <v>7</v>
      </c>
      <c r="AV282" s="744">
        <v>7</v>
      </c>
      <c r="AW282" s="744">
        <v>7</v>
      </c>
      <c r="AX282" s="744">
        <v>7</v>
      </c>
      <c r="AY282" s="744">
        <v>7</v>
      </c>
      <c r="AZ282" s="744">
        <v>7</v>
      </c>
      <c r="BA282" s="744">
        <v>7</v>
      </c>
      <c r="BB282" s="744">
        <v>7</v>
      </c>
      <c r="BC282" s="744">
        <v>7</v>
      </c>
      <c r="BD282" s="744">
        <v>7</v>
      </c>
      <c r="BE282" s="744">
        <v>7</v>
      </c>
      <c r="BF282" s="744">
        <v>7</v>
      </c>
      <c r="BG282" s="744">
        <v>7</v>
      </c>
      <c r="BH282" s="744">
        <v>7</v>
      </c>
      <c r="BI282" s="744">
        <v>7</v>
      </c>
      <c r="BJ282" s="744">
        <v>7</v>
      </c>
      <c r="BK282" s="744">
        <v>7</v>
      </c>
      <c r="BL282" s="744">
        <v>7</v>
      </c>
      <c r="BM282" s="744">
        <v>7</v>
      </c>
      <c r="BN282" s="744">
        <v>7</v>
      </c>
      <c r="BO282" s="744">
        <v>7</v>
      </c>
      <c r="BP282" s="744">
        <v>7</v>
      </c>
      <c r="BQ282" s="744">
        <v>7</v>
      </c>
      <c r="BR282" s="744">
        <v>7</v>
      </c>
      <c r="BS282" s="744">
        <v>7</v>
      </c>
      <c r="BT282" s="744">
        <v>7</v>
      </c>
      <c r="BU282" s="744">
        <v>7</v>
      </c>
      <c r="BV282" s="744">
        <v>7</v>
      </c>
      <c r="BW282" s="744">
        <v>7</v>
      </c>
      <c r="BX282" s="744">
        <v>7</v>
      </c>
      <c r="BY282" s="744">
        <v>7</v>
      </c>
      <c r="BZ282" s="744">
        <v>7</v>
      </c>
      <c r="CA282" s="744">
        <v>7</v>
      </c>
      <c r="CB282" s="744">
        <v>7</v>
      </c>
      <c r="CC282" s="744">
        <v>7</v>
      </c>
      <c r="CD282" s="744">
        <v>7</v>
      </c>
      <c r="CE282" s="744">
        <v>7</v>
      </c>
      <c r="CF282" s="744">
        <v>7</v>
      </c>
      <c r="CG282" s="744">
        <v>7</v>
      </c>
      <c r="CH282" s="744">
        <v>7</v>
      </c>
      <c r="CI282" s="744">
        <v>7</v>
      </c>
    </row>
    <row r="283" spans="2:87" ht="30.65" customHeight="1" x14ac:dyDescent="0.35">
      <c r="B283" s="990" t="s">
        <v>502</v>
      </c>
      <c r="C283" s="991" t="s">
        <v>503</v>
      </c>
      <c r="D283" s="992" t="s">
        <v>504</v>
      </c>
      <c r="E283" s="991" t="s">
        <v>305</v>
      </c>
      <c r="F283" s="993">
        <v>2</v>
      </c>
      <c r="G283" s="749"/>
      <c r="H283" s="750"/>
      <c r="I283" s="750"/>
      <c r="J283" s="750"/>
      <c r="K283" s="750"/>
      <c r="L283" s="750"/>
      <c r="M283" s="744"/>
      <c r="N283" s="744"/>
      <c r="O283" s="744"/>
      <c r="P283" s="744"/>
      <c r="Q283" s="744"/>
      <c r="R283" s="744"/>
      <c r="S283" s="744"/>
      <c r="T283" s="744"/>
      <c r="U283" s="744"/>
      <c r="V283" s="744"/>
      <c r="W283" s="744"/>
      <c r="X283" s="744"/>
      <c r="Y283" s="744"/>
      <c r="Z283" s="744"/>
      <c r="AA283" s="744"/>
      <c r="AB283" s="744"/>
      <c r="AC283" s="744"/>
      <c r="AD283" s="744"/>
      <c r="AE283" s="744"/>
      <c r="AF283" s="744"/>
      <c r="AG283" s="744"/>
      <c r="AH283" s="744"/>
      <c r="AI283" s="744"/>
      <c r="AJ283" s="744"/>
      <c r="AK283" s="744"/>
      <c r="AL283" s="744"/>
      <c r="AM283" s="744"/>
      <c r="AN283" s="744"/>
      <c r="AO283" s="744"/>
      <c r="AP283" s="744"/>
      <c r="AQ283" s="744"/>
      <c r="AR283" s="744"/>
      <c r="AS283" s="744"/>
      <c r="AT283" s="744"/>
      <c r="AU283" s="744"/>
      <c r="AV283" s="744"/>
      <c r="AW283" s="744"/>
      <c r="AX283" s="744"/>
      <c r="AY283" s="744"/>
      <c r="AZ283" s="744"/>
      <c r="BA283" s="744"/>
      <c r="BB283" s="744"/>
      <c r="BC283" s="744"/>
      <c r="BD283" s="744"/>
      <c r="BE283" s="744"/>
      <c r="BF283" s="744"/>
      <c r="BG283" s="744"/>
      <c r="BH283" s="744"/>
      <c r="BI283" s="744"/>
      <c r="BJ283" s="744"/>
      <c r="BK283" s="744"/>
      <c r="BL283" s="744"/>
      <c r="BM283" s="744"/>
      <c r="BN283" s="744"/>
      <c r="BO283" s="744"/>
      <c r="BP283" s="744"/>
      <c r="BQ283" s="744"/>
      <c r="BR283" s="744"/>
      <c r="BS283" s="744"/>
      <c r="BT283" s="744"/>
      <c r="BU283" s="744"/>
      <c r="BV283" s="744"/>
      <c r="BW283" s="744"/>
      <c r="BX283" s="744"/>
      <c r="BY283" s="744"/>
      <c r="BZ283" s="744"/>
      <c r="CA283" s="744"/>
      <c r="CB283" s="744"/>
      <c r="CC283" s="744"/>
      <c r="CD283" s="744"/>
      <c r="CE283" s="744"/>
      <c r="CF283" s="744"/>
      <c r="CG283" s="744"/>
      <c r="CH283" s="744"/>
      <c r="CI283" s="744"/>
    </row>
    <row r="284" spans="2:87" ht="30.65" customHeight="1" x14ac:dyDescent="0.35">
      <c r="B284" s="990" t="s">
        <v>505</v>
      </c>
      <c r="C284" s="991" t="s">
        <v>506</v>
      </c>
      <c r="D284" s="992" t="s">
        <v>507</v>
      </c>
      <c r="E284" s="991" t="s">
        <v>305</v>
      </c>
      <c r="F284" s="993">
        <v>2</v>
      </c>
      <c r="G284" s="749">
        <v>8</v>
      </c>
      <c r="H284" s="750">
        <v>8</v>
      </c>
      <c r="I284" s="750">
        <v>8</v>
      </c>
      <c r="J284" s="750">
        <v>8</v>
      </c>
      <c r="K284" s="750">
        <v>8</v>
      </c>
      <c r="L284" s="750">
        <v>8</v>
      </c>
      <c r="M284" s="744">
        <v>8</v>
      </c>
      <c r="N284" s="744">
        <v>8</v>
      </c>
      <c r="O284" s="744">
        <v>8</v>
      </c>
      <c r="P284" s="744">
        <v>8</v>
      </c>
      <c r="Q284" s="744">
        <v>8</v>
      </c>
      <c r="R284" s="744">
        <v>8</v>
      </c>
      <c r="S284" s="744">
        <v>8</v>
      </c>
      <c r="T284" s="744">
        <v>8</v>
      </c>
      <c r="U284" s="744">
        <v>8</v>
      </c>
      <c r="V284" s="744">
        <v>8</v>
      </c>
      <c r="W284" s="744">
        <v>8</v>
      </c>
      <c r="X284" s="744">
        <v>8</v>
      </c>
      <c r="Y284" s="744">
        <v>8</v>
      </c>
      <c r="Z284" s="744">
        <v>8</v>
      </c>
      <c r="AA284" s="744">
        <v>8</v>
      </c>
      <c r="AB284" s="744">
        <v>8</v>
      </c>
      <c r="AC284" s="744">
        <v>8</v>
      </c>
      <c r="AD284" s="744">
        <v>8</v>
      </c>
      <c r="AE284" s="744">
        <v>8</v>
      </c>
      <c r="AF284" s="744">
        <v>8</v>
      </c>
      <c r="AG284" s="744">
        <v>8</v>
      </c>
      <c r="AH284" s="744">
        <v>8</v>
      </c>
      <c r="AI284" s="744">
        <v>8</v>
      </c>
      <c r="AJ284" s="744">
        <v>8</v>
      </c>
      <c r="AK284" s="744">
        <v>8</v>
      </c>
      <c r="AL284" s="744">
        <v>8</v>
      </c>
      <c r="AM284" s="744">
        <v>8</v>
      </c>
      <c r="AN284" s="744">
        <v>8</v>
      </c>
      <c r="AO284" s="744">
        <v>8</v>
      </c>
      <c r="AP284" s="744">
        <v>8</v>
      </c>
      <c r="AQ284" s="744">
        <v>8</v>
      </c>
      <c r="AR284" s="744">
        <v>8</v>
      </c>
      <c r="AS284" s="744">
        <v>8</v>
      </c>
      <c r="AT284" s="744">
        <v>8</v>
      </c>
      <c r="AU284" s="744">
        <v>8</v>
      </c>
      <c r="AV284" s="744">
        <v>8</v>
      </c>
      <c r="AW284" s="744">
        <v>8</v>
      </c>
      <c r="AX284" s="744">
        <v>8</v>
      </c>
      <c r="AY284" s="744">
        <v>8</v>
      </c>
      <c r="AZ284" s="744">
        <v>8</v>
      </c>
      <c r="BA284" s="744">
        <v>8</v>
      </c>
      <c r="BB284" s="744">
        <v>8</v>
      </c>
      <c r="BC284" s="744">
        <v>8</v>
      </c>
      <c r="BD284" s="744">
        <v>8</v>
      </c>
      <c r="BE284" s="744">
        <v>8</v>
      </c>
      <c r="BF284" s="744">
        <v>8</v>
      </c>
      <c r="BG284" s="744">
        <v>8</v>
      </c>
      <c r="BH284" s="744">
        <v>8</v>
      </c>
      <c r="BI284" s="744">
        <v>8</v>
      </c>
      <c r="BJ284" s="744">
        <v>8</v>
      </c>
      <c r="BK284" s="744">
        <v>8</v>
      </c>
      <c r="BL284" s="744">
        <v>8</v>
      </c>
      <c r="BM284" s="744">
        <v>8</v>
      </c>
      <c r="BN284" s="744">
        <v>8</v>
      </c>
      <c r="BO284" s="744">
        <v>8</v>
      </c>
      <c r="BP284" s="744">
        <v>8</v>
      </c>
      <c r="BQ284" s="744">
        <v>8</v>
      </c>
      <c r="BR284" s="744">
        <v>8</v>
      </c>
      <c r="BS284" s="744">
        <v>8</v>
      </c>
      <c r="BT284" s="744">
        <v>8</v>
      </c>
      <c r="BU284" s="744">
        <v>8</v>
      </c>
      <c r="BV284" s="744">
        <v>8</v>
      </c>
      <c r="BW284" s="744">
        <v>8</v>
      </c>
      <c r="BX284" s="744">
        <v>8</v>
      </c>
      <c r="BY284" s="744">
        <v>8</v>
      </c>
      <c r="BZ284" s="744">
        <v>8</v>
      </c>
      <c r="CA284" s="744">
        <v>8</v>
      </c>
      <c r="CB284" s="744">
        <v>8</v>
      </c>
      <c r="CC284" s="744">
        <v>8</v>
      </c>
      <c r="CD284" s="744">
        <v>8</v>
      </c>
      <c r="CE284" s="744">
        <v>8</v>
      </c>
      <c r="CF284" s="744">
        <v>8</v>
      </c>
      <c r="CG284" s="744">
        <v>8</v>
      </c>
      <c r="CH284" s="744">
        <v>8</v>
      </c>
      <c r="CI284" s="744">
        <v>8</v>
      </c>
    </row>
    <row r="285" spans="2:87" ht="28" x14ac:dyDescent="0.35">
      <c r="B285" s="985" t="s">
        <v>508</v>
      </c>
      <c r="C285" s="986" t="s">
        <v>2199</v>
      </c>
      <c r="D285" s="986" t="s">
        <v>510</v>
      </c>
      <c r="E285" s="986" t="s">
        <v>305</v>
      </c>
      <c r="F285" s="987">
        <v>2</v>
      </c>
      <c r="G285" s="749"/>
      <c r="H285" s="750"/>
      <c r="I285" s="750"/>
      <c r="J285" s="750"/>
      <c r="K285" s="750"/>
      <c r="L285" s="750"/>
      <c r="M285" s="744"/>
      <c r="N285" s="744"/>
      <c r="O285" s="744"/>
      <c r="P285" s="744"/>
      <c r="Q285" s="744"/>
      <c r="R285" s="744"/>
      <c r="S285" s="744"/>
      <c r="T285" s="744"/>
      <c r="U285" s="744"/>
      <c r="V285" s="744"/>
      <c r="W285" s="744"/>
      <c r="X285" s="744"/>
      <c r="Y285" s="744"/>
      <c r="Z285" s="744"/>
      <c r="AA285" s="744"/>
      <c r="AB285" s="744"/>
      <c r="AC285" s="744"/>
      <c r="AD285" s="744"/>
      <c r="AE285" s="744"/>
      <c r="AF285" s="744"/>
      <c r="AG285" s="744"/>
      <c r="AH285" s="744"/>
      <c r="AI285" s="744"/>
      <c r="AJ285" s="744"/>
      <c r="AK285" s="744"/>
      <c r="AL285" s="744"/>
      <c r="AM285" s="744"/>
      <c r="AN285" s="744"/>
      <c r="AO285" s="744"/>
      <c r="AP285" s="744"/>
      <c r="AQ285" s="744"/>
      <c r="AR285" s="744"/>
      <c r="AS285" s="744"/>
      <c r="AT285" s="744"/>
      <c r="AU285" s="744"/>
      <c r="AV285" s="744"/>
      <c r="AW285" s="744"/>
      <c r="AX285" s="744"/>
      <c r="AY285" s="744"/>
      <c r="AZ285" s="744"/>
      <c r="BA285" s="744"/>
      <c r="BB285" s="744"/>
      <c r="BC285" s="744"/>
      <c r="BD285" s="744"/>
      <c r="BE285" s="744"/>
      <c r="BF285" s="744"/>
      <c r="BG285" s="744"/>
      <c r="BH285" s="744"/>
      <c r="BI285" s="744"/>
      <c r="BJ285" s="744"/>
      <c r="BK285" s="744"/>
      <c r="BL285" s="744"/>
      <c r="BM285" s="744"/>
      <c r="BN285" s="744"/>
      <c r="BO285" s="744"/>
      <c r="BP285" s="744"/>
      <c r="BQ285" s="744"/>
      <c r="BR285" s="744"/>
      <c r="BS285" s="744"/>
      <c r="BT285" s="744"/>
      <c r="BU285" s="744"/>
      <c r="BV285" s="744"/>
      <c r="BW285" s="744"/>
      <c r="BX285" s="744"/>
      <c r="BY285" s="744"/>
      <c r="BZ285" s="744"/>
      <c r="CA285" s="744"/>
      <c r="CB285" s="744"/>
      <c r="CC285" s="744"/>
      <c r="CD285" s="744"/>
      <c r="CE285" s="744"/>
      <c r="CF285" s="744"/>
      <c r="CG285" s="744"/>
      <c r="CH285" s="744"/>
      <c r="CI285" s="744"/>
    </row>
    <row r="286" spans="2:87" x14ac:dyDescent="0.35">
      <c r="B286" s="985" t="s">
        <v>511</v>
      </c>
      <c r="C286" s="986" t="s">
        <v>2200</v>
      </c>
      <c r="D286" s="986" t="s">
        <v>513</v>
      </c>
      <c r="E286" s="986" t="s">
        <v>305</v>
      </c>
      <c r="F286" s="987">
        <v>2</v>
      </c>
      <c r="G286" s="749"/>
      <c r="H286" s="750"/>
      <c r="I286" s="750"/>
      <c r="J286" s="750"/>
      <c r="K286" s="750"/>
      <c r="L286" s="750"/>
      <c r="M286" s="744"/>
      <c r="N286" s="744"/>
      <c r="O286" s="744"/>
      <c r="P286" s="744"/>
      <c r="Q286" s="744"/>
      <c r="R286" s="744"/>
      <c r="S286" s="744"/>
      <c r="T286" s="744"/>
      <c r="U286" s="744"/>
      <c r="V286" s="744"/>
      <c r="W286" s="744"/>
      <c r="X286" s="744"/>
      <c r="Y286" s="744"/>
      <c r="Z286" s="744"/>
      <c r="AA286" s="744"/>
      <c r="AB286" s="744"/>
      <c r="AC286" s="744"/>
      <c r="AD286" s="744"/>
      <c r="AE286" s="744"/>
      <c r="AF286" s="744"/>
      <c r="AG286" s="744"/>
      <c r="AH286" s="744"/>
      <c r="AI286" s="744"/>
      <c r="AJ286" s="744"/>
      <c r="AK286" s="744"/>
      <c r="AL286" s="744"/>
      <c r="AM286" s="744"/>
      <c r="AN286" s="744"/>
      <c r="AO286" s="744"/>
      <c r="AP286" s="744"/>
      <c r="AQ286" s="744"/>
      <c r="AR286" s="744"/>
      <c r="AS286" s="744"/>
      <c r="AT286" s="744"/>
      <c r="AU286" s="744"/>
      <c r="AV286" s="744"/>
      <c r="AW286" s="744"/>
      <c r="AX286" s="744"/>
      <c r="AY286" s="744"/>
      <c r="AZ286" s="744"/>
      <c r="BA286" s="744"/>
      <c r="BB286" s="744"/>
      <c r="BC286" s="744"/>
      <c r="BD286" s="744"/>
      <c r="BE286" s="744"/>
      <c r="BF286" s="744"/>
      <c r="BG286" s="744"/>
      <c r="BH286" s="744"/>
      <c r="BI286" s="744"/>
      <c r="BJ286" s="744"/>
      <c r="BK286" s="744"/>
      <c r="BL286" s="744"/>
      <c r="BM286" s="744"/>
      <c r="BN286" s="744"/>
      <c r="BO286" s="744"/>
      <c r="BP286" s="744"/>
      <c r="BQ286" s="744"/>
      <c r="BR286" s="744"/>
      <c r="BS286" s="744"/>
      <c r="BT286" s="744"/>
      <c r="BU286" s="744"/>
      <c r="BV286" s="744"/>
      <c r="BW286" s="744"/>
      <c r="BX286" s="744"/>
      <c r="BY286" s="744"/>
      <c r="BZ286" s="744"/>
      <c r="CA286" s="744"/>
      <c r="CB286" s="744"/>
      <c r="CC286" s="744"/>
      <c r="CD286" s="744"/>
      <c r="CE286" s="744"/>
      <c r="CF286" s="744"/>
      <c r="CG286" s="744"/>
      <c r="CH286" s="744"/>
      <c r="CI286" s="744"/>
    </row>
    <row r="287" spans="2:87" ht="14.5" thickBot="1" x14ac:dyDescent="0.4">
      <c r="B287" s="994" t="s">
        <v>514</v>
      </c>
      <c r="C287" s="995" t="s">
        <v>2201</v>
      </c>
      <c r="D287" s="995" t="s">
        <v>516</v>
      </c>
      <c r="E287" s="995" t="s">
        <v>305</v>
      </c>
      <c r="F287" s="996">
        <v>2</v>
      </c>
      <c r="G287" s="760"/>
      <c r="H287" s="761"/>
      <c r="I287" s="761"/>
      <c r="J287" s="761"/>
      <c r="K287" s="761"/>
      <c r="L287" s="761"/>
      <c r="M287" s="744"/>
      <c r="N287" s="744"/>
      <c r="O287" s="744"/>
      <c r="P287" s="744"/>
      <c r="Q287" s="744"/>
      <c r="R287" s="744"/>
      <c r="S287" s="744"/>
      <c r="T287" s="744"/>
      <c r="U287" s="744"/>
      <c r="V287" s="744"/>
      <c r="W287" s="744"/>
      <c r="X287" s="744"/>
      <c r="Y287" s="744"/>
      <c r="Z287" s="744"/>
      <c r="AA287" s="744"/>
      <c r="AB287" s="744"/>
      <c r="AC287" s="744"/>
      <c r="AD287" s="744"/>
      <c r="AE287" s="744"/>
      <c r="AF287" s="744"/>
      <c r="AG287" s="744"/>
      <c r="AH287" s="744"/>
      <c r="AI287" s="744"/>
      <c r="AJ287" s="744"/>
      <c r="AK287" s="744"/>
      <c r="AL287" s="744"/>
      <c r="AM287" s="744"/>
      <c r="AN287" s="744"/>
      <c r="AO287" s="744"/>
      <c r="AP287" s="744"/>
      <c r="AQ287" s="744"/>
      <c r="AR287" s="744"/>
      <c r="AS287" s="744"/>
      <c r="AT287" s="744"/>
      <c r="AU287" s="744"/>
      <c r="AV287" s="744"/>
      <c r="AW287" s="744"/>
      <c r="AX287" s="744"/>
      <c r="AY287" s="744"/>
      <c r="AZ287" s="744"/>
      <c r="BA287" s="744"/>
      <c r="BB287" s="744"/>
      <c r="BC287" s="744"/>
      <c r="BD287" s="744"/>
      <c r="BE287" s="744"/>
      <c r="BF287" s="744"/>
      <c r="BG287" s="744"/>
      <c r="BH287" s="744"/>
      <c r="BI287" s="744"/>
      <c r="BJ287" s="744"/>
      <c r="BK287" s="744"/>
      <c r="BL287" s="744"/>
      <c r="BM287" s="744"/>
      <c r="BN287" s="744"/>
      <c r="BO287" s="744"/>
      <c r="BP287" s="744"/>
      <c r="BQ287" s="744"/>
      <c r="BR287" s="744"/>
      <c r="BS287" s="744"/>
      <c r="BT287" s="744"/>
      <c r="BU287" s="744"/>
      <c r="BV287" s="744"/>
      <c r="BW287" s="744"/>
      <c r="BX287" s="744"/>
      <c r="BY287" s="744"/>
      <c r="BZ287" s="744"/>
      <c r="CA287" s="744"/>
      <c r="CB287" s="744"/>
      <c r="CC287" s="744"/>
      <c r="CD287" s="744"/>
      <c r="CE287" s="744"/>
      <c r="CF287" s="744"/>
      <c r="CG287" s="744"/>
      <c r="CH287" s="744"/>
      <c r="CI287" s="744"/>
    </row>
    <row r="288" spans="2:87" ht="56" x14ac:dyDescent="0.35">
      <c r="B288" s="997" t="s">
        <v>517</v>
      </c>
      <c r="C288" s="998" t="s">
        <v>2192</v>
      </c>
      <c r="D288" s="999" t="s">
        <v>518</v>
      </c>
      <c r="E288" s="998" t="s">
        <v>305</v>
      </c>
      <c r="F288" s="1000">
        <v>2</v>
      </c>
      <c r="G288" s="741"/>
      <c r="H288" s="742"/>
      <c r="I288" s="742"/>
      <c r="J288" s="742"/>
      <c r="K288" s="742"/>
      <c r="L288" s="742"/>
      <c r="M288" s="743">
        <v>-0.379</v>
      </c>
      <c r="N288" s="743">
        <v>-0.75800000000000001</v>
      </c>
      <c r="O288" s="743">
        <v>-1.137</v>
      </c>
      <c r="P288" s="743">
        <v>-1.516</v>
      </c>
      <c r="Q288" s="743">
        <v>-1.895</v>
      </c>
      <c r="R288" s="743">
        <v>-2.1420000000000003</v>
      </c>
      <c r="S288" s="743">
        <v>-2.3890000000000002</v>
      </c>
      <c r="T288" s="743">
        <v>-2.6360000000000001</v>
      </c>
      <c r="U288" s="743">
        <v>-2.883</v>
      </c>
      <c r="V288" s="743">
        <v>-3.13</v>
      </c>
      <c r="W288" s="743">
        <v>-3.13</v>
      </c>
      <c r="X288" s="743">
        <v>-3.13</v>
      </c>
      <c r="Y288" s="743">
        <v>-3.13</v>
      </c>
      <c r="Z288" s="743">
        <v>-3.13</v>
      </c>
      <c r="AA288" s="743">
        <v>-3.13</v>
      </c>
      <c r="AB288" s="743">
        <v>-3.13</v>
      </c>
      <c r="AC288" s="743">
        <v>-3.13</v>
      </c>
      <c r="AD288" s="743">
        <v>-3.13</v>
      </c>
      <c r="AE288" s="743">
        <v>-3.13</v>
      </c>
      <c r="AF288" s="743">
        <v>-3.13</v>
      </c>
      <c r="AG288" s="743">
        <v>-3.13</v>
      </c>
      <c r="AH288" s="743">
        <v>-3.13</v>
      </c>
      <c r="AI288" s="743">
        <v>-3.13</v>
      </c>
      <c r="AJ288" s="743">
        <v>-3.13</v>
      </c>
      <c r="AK288" s="743">
        <v>-3.13</v>
      </c>
      <c r="AL288" s="743">
        <v>-3.13</v>
      </c>
      <c r="AM288" s="743">
        <v>-3.13</v>
      </c>
      <c r="AN288" s="743">
        <v>-3.13</v>
      </c>
      <c r="AO288" s="743">
        <v>-3.13</v>
      </c>
      <c r="AP288" s="743">
        <v>-3.13</v>
      </c>
      <c r="AQ288" s="743">
        <v>-3.13</v>
      </c>
      <c r="AR288" s="743">
        <v>-3.13</v>
      </c>
      <c r="AS288" s="743">
        <v>-3.13</v>
      </c>
      <c r="AT288" s="743">
        <v>-3.13</v>
      </c>
      <c r="AU288" s="743">
        <v>-3.13</v>
      </c>
      <c r="AV288" s="743">
        <v>-3.13</v>
      </c>
      <c r="AW288" s="743">
        <v>-3.13</v>
      </c>
      <c r="AX288" s="743">
        <v>-3.13</v>
      </c>
      <c r="AY288" s="743">
        <v>-3.13</v>
      </c>
      <c r="AZ288" s="743">
        <v>-3.13</v>
      </c>
      <c r="BA288" s="743">
        <v>-3.13</v>
      </c>
      <c r="BB288" s="743">
        <v>-3.13</v>
      </c>
      <c r="BC288" s="743">
        <v>-3.13</v>
      </c>
      <c r="BD288" s="743">
        <v>-3.13</v>
      </c>
      <c r="BE288" s="743">
        <v>-3.13</v>
      </c>
      <c r="BF288" s="743">
        <v>-3.13</v>
      </c>
      <c r="BG288" s="743">
        <v>-3.13</v>
      </c>
      <c r="BH288" s="743">
        <v>-3.13</v>
      </c>
      <c r="BI288" s="743">
        <v>-3.13</v>
      </c>
      <c r="BJ288" s="743">
        <v>-3.13</v>
      </c>
      <c r="BK288" s="743">
        <v>-3.13</v>
      </c>
      <c r="BL288" s="743">
        <v>-3.13</v>
      </c>
      <c r="BM288" s="743">
        <v>-3.13</v>
      </c>
      <c r="BN288" s="743">
        <v>-3.13</v>
      </c>
      <c r="BO288" s="743">
        <v>-3.13</v>
      </c>
      <c r="BP288" s="743">
        <v>-3.13</v>
      </c>
      <c r="BQ288" s="743">
        <v>-3.13</v>
      </c>
      <c r="BR288" s="743">
        <v>-3.13</v>
      </c>
      <c r="BS288" s="743">
        <v>-3.13</v>
      </c>
      <c r="BT288" s="743">
        <v>-3.13</v>
      </c>
      <c r="BU288" s="743">
        <v>-3.13</v>
      </c>
      <c r="BV288" s="743">
        <v>-3.13</v>
      </c>
      <c r="BW288" s="743">
        <v>-3.13</v>
      </c>
      <c r="BX288" s="743">
        <v>-3.13</v>
      </c>
      <c r="BY288" s="743">
        <v>-3.13</v>
      </c>
      <c r="BZ288" s="743">
        <v>-3.13</v>
      </c>
      <c r="CA288" s="743">
        <v>-3.13</v>
      </c>
      <c r="CB288" s="743">
        <v>-3.13</v>
      </c>
      <c r="CC288" s="743">
        <v>-3.13</v>
      </c>
      <c r="CD288" s="743">
        <v>-3.13</v>
      </c>
      <c r="CE288" s="743">
        <v>-3.13</v>
      </c>
      <c r="CF288" s="743">
        <v>-3.13</v>
      </c>
      <c r="CG288" s="743">
        <v>-3.13</v>
      </c>
      <c r="CH288" s="743">
        <v>-3.13</v>
      </c>
      <c r="CI288" s="743">
        <v>-3.13</v>
      </c>
    </row>
    <row r="289" spans="2:93" ht="56" x14ac:dyDescent="0.35">
      <c r="B289" s="1001" t="s">
        <v>519</v>
      </c>
      <c r="C289" s="1002" t="s">
        <v>2193</v>
      </c>
      <c r="D289" s="1003" t="s">
        <v>520</v>
      </c>
      <c r="E289" s="1002" t="s">
        <v>305</v>
      </c>
      <c r="F289" s="1004">
        <v>2</v>
      </c>
      <c r="G289" s="749"/>
      <c r="H289" s="750"/>
      <c r="I289" s="750"/>
      <c r="J289" s="750"/>
      <c r="K289" s="750"/>
      <c r="L289" s="750"/>
      <c r="M289" s="744">
        <v>-9.0999999999999998E-2</v>
      </c>
      <c r="N289" s="744">
        <v>-0.182</v>
      </c>
      <c r="O289" s="744">
        <v>-0.27300000000000002</v>
      </c>
      <c r="P289" s="744">
        <v>-0.36399999999999999</v>
      </c>
      <c r="Q289" s="744">
        <v>-0.45499999999999996</v>
      </c>
      <c r="R289" s="744">
        <v>-0.54600000000000004</v>
      </c>
      <c r="S289" s="744">
        <v>-0.63700000000000001</v>
      </c>
      <c r="T289" s="744">
        <v>-0.72799999999999998</v>
      </c>
      <c r="U289" s="744">
        <v>-0.81899999999999995</v>
      </c>
      <c r="V289" s="744">
        <v>-0.90999999999999992</v>
      </c>
      <c r="W289" s="744">
        <v>-0.90999999999999992</v>
      </c>
      <c r="X289" s="744">
        <v>-0.90999999999999992</v>
      </c>
      <c r="Y289" s="744">
        <v>-0.90999999999999992</v>
      </c>
      <c r="Z289" s="744">
        <v>-0.90999999999999992</v>
      </c>
      <c r="AA289" s="744">
        <v>-0.90999999999999992</v>
      </c>
      <c r="AB289" s="744">
        <v>-0.90999999999999992</v>
      </c>
      <c r="AC289" s="744">
        <v>-0.90999999999999992</v>
      </c>
      <c r="AD289" s="744">
        <v>-0.90999999999999992</v>
      </c>
      <c r="AE289" s="744">
        <v>-0.90999999999999992</v>
      </c>
      <c r="AF289" s="744">
        <v>-0.90999999999999992</v>
      </c>
      <c r="AG289" s="744">
        <v>-0.90999999999999992</v>
      </c>
      <c r="AH289" s="744">
        <v>-0.90999999999999992</v>
      </c>
      <c r="AI289" s="744">
        <v>-0.90999999999999992</v>
      </c>
      <c r="AJ289" s="744">
        <v>-0.90999999999999992</v>
      </c>
      <c r="AK289" s="744">
        <v>-0.90999999999999992</v>
      </c>
      <c r="AL289" s="744">
        <v>-0.90999999999999992</v>
      </c>
      <c r="AM289" s="744">
        <v>-0.90999999999999992</v>
      </c>
      <c r="AN289" s="744">
        <v>-0.90999999999999992</v>
      </c>
      <c r="AO289" s="744">
        <v>-0.90999999999999992</v>
      </c>
      <c r="AP289" s="744">
        <v>-0.90999999999999992</v>
      </c>
      <c r="AQ289" s="744">
        <v>-0.90999999999999992</v>
      </c>
      <c r="AR289" s="744">
        <v>-0.90999999999999992</v>
      </c>
      <c r="AS289" s="744">
        <v>-0.90999999999999992</v>
      </c>
      <c r="AT289" s="744">
        <v>-0.90999999999999992</v>
      </c>
      <c r="AU289" s="744">
        <v>-0.90999999999999992</v>
      </c>
      <c r="AV289" s="744">
        <v>-0.90999999999999992</v>
      </c>
      <c r="AW289" s="744">
        <v>-0.90999999999999992</v>
      </c>
      <c r="AX289" s="744">
        <v>-0.90999999999999992</v>
      </c>
      <c r="AY289" s="744">
        <v>-0.90999999999999992</v>
      </c>
      <c r="AZ289" s="744">
        <v>-0.90999999999999992</v>
      </c>
      <c r="BA289" s="744">
        <v>-0.90999999999999992</v>
      </c>
      <c r="BB289" s="744">
        <v>-0.90999999999999992</v>
      </c>
      <c r="BC289" s="744">
        <v>-0.90999999999999992</v>
      </c>
      <c r="BD289" s="744">
        <v>-0.90999999999999992</v>
      </c>
      <c r="BE289" s="744">
        <v>-0.90999999999999992</v>
      </c>
      <c r="BF289" s="744">
        <v>-0.90999999999999992</v>
      </c>
      <c r="BG289" s="744">
        <v>-0.90999999999999992</v>
      </c>
      <c r="BH289" s="744">
        <v>-0.90999999999999992</v>
      </c>
      <c r="BI289" s="744">
        <v>-0.90999999999999992</v>
      </c>
      <c r="BJ289" s="744">
        <v>-0.90999999999999992</v>
      </c>
      <c r="BK289" s="744">
        <v>-0.90999999999999992</v>
      </c>
      <c r="BL289" s="744">
        <v>-0.90999999999999992</v>
      </c>
      <c r="BM289" s="744">
        <v>-0.90999999999999992</v>
      </c>
      <c r="BN289" s="744">
        <v>-0.90999999999999992</v>
      </c>
      <c r="BO289" s="744">
        <v>-0.90999999999999992</v>
      </c>
      <c r="BP289" s="744">
        <v>-0.90999999999999992</v>
      </c>
      <c r="BQ289" s="744">
        <v>-0.90999999999999992</v>
      </c>
      <c r="BR289" s="744">
        <v>-0.90999999999999992</v>
      </c>
      <c r="BS289" s="744">
        <v>-0.90999999999999992</v>
      </c>
      <c r="BT289" s="744">
        <v>-0.90999999999999992</v>
      </c>
      <c r="BU289" s="744">
        <v>-0.90999999999999992</v>
      </c>
      <c r="BV289" s="744">
        <v>-0.90999999999999992</v>
      </c>
      <c r="BW289" s="744">
        <v>-0.90999999999999992</v>
      </c>
      <c r="BX289" s="744">
        <v>-0.90999999999999992</v>
      </c>
      <c r="BY289" s="744">
        <v>-0.90999999999999992</v>
      </c>
      <c r="BZ289" s="744">
        <v>-0.90999999999999992</v>
      </c>
      <c r="CA289" s="744">
        <v>-0.90999999999999992</v>
      </c>
      <c r="CB289" s="744">
        <v>-0.90999999999999992</v>
      </c>
      <c r="CC289" s="744">
        <v>-0.90999999999999992</v>
      </c>
      <c r="CD289" s="744">
        <v>-0.90999999999999992</v>
      </c>
      <c r="CE289" s="744">
        <v>-0.90999999999999992</v>
      </c>
      <c r="CF289" s="744">
        <v>-0.90999999999999992</v>
      </c>
      <c r="CG289" s="744">
        <v>-0.90999999999999992</v>
      </c>
      <c r="CH289" s="744">
        <v>-0.90999999999999992</v>
      </c>
      <c r="CI289" s="745">
        <v>-0.90999999999999992</v>
      </c>
    </row>
    <row r="290" spans="2:93" ht="56" x14ac:dyDescent="0.35">
      <c r="B290" s="1001" t="s">
        <v>521</v>
      </c>
      <c r="C290" s="1002" t="s">
        <v>2181</v>
      </c>
      <c r="D290" s="1003" t="s">
        <v>522</v>
      </c>
      <c r="E290" s="1002" t="s">
        <v>305</v>
      </c>
      <c r="F290" s="1004">
        <v>2</v>
      </c>
      <c r="G290" s="749"/>
      <c r="H290" s="750"/>
      <c r="I290" s="750"/>
      <c r="J290" s="750"/>
      <c r="K290" s="750"/>
      <c r="L290" s="750"/>
      <c r="M290" s="744">
        <v>0.41647867818181894</v>
      </c>
      <c r="N290" s="744">
        <v>0.86168486636364094</v>
      </c>
      <c r="O290" s="744">
        <v>1.3141452345454598</v>
      </c>
      <c r="P290" s="744">
        <v>1.7718681027272791</v>
      </c>
      <c r="Q290" s="744">
        <v>2.0966802279774153</v>
      </c>
      <c r="R290" s="744">
        <v>2.4778430872086039</v>
      </c>
      <c r="S290" s="744">
        <v>2.8548167166958556</v>
      </c>
      <c r="T290" s="744">
        <v>3.2326228095675695</v>
      </c>
      <c r="U290" s="744">
        <v>3.6141089340845323</v>
      </c>
      <c r="V290" s="744">
        <v>3.999819518519713</v>
      </c>
      <c r="W290" s="744">
        <v>4.4738581082530615</v>
      </c>
      <c r="X290" s="744">
        <v>3.8228790444622023</v>
      </c>
      <c r="Y290" s="744">
        <v>3.1771866790392416</v>
      </c>
      <c r="Z290" s="744">
        <v>2.5363158616672381</v>
      </c>
      <c r="AA290" s="744">
        <v>1.8979959822954129</v>
      </c>
      <c r="AB290" s="744">
        <v>1.2630874803233878</v>
      </c>
      <c r="AC290" s="744">
        <v>0.63268806077917183</v>
      </c>
      <c r="AD290" s="744">
        <v>6.5462258667405848E-3</v>
      </c>
      <c r="AE290" s="744">
        <v>-0.61554549268517267</v>
      </c>
      <c r="AF290" s="744">
        <v>-1.2341093560592462</v>
      </c>
      <c r="AG290" s="744">
        <v>-1.5891384962818389</v>
      </c>
      <c r="AH290" s="744">
        <v>-1.9384959224543934</v>
      </c>
      <c r="AI290" s="744">
        <v>-2.2821411058613386</v>
      </c>
      <c r="AJ290" s="744">
        <v>-2.6200574908297316</v>
      </c>
      <c r="AK290" s="744">
        <v>-2.9521352181219171</v>
      </c>
      <c r="AL290" s="744">
        <v>-3.2445532681082998</v>
      </c>
      <c r="AM290" s="744">
        <v>-3.532254800185278</v>
      </c>
      <c r="AN290" s="744">
        <v>-3.8157595639304667</v>
      </c>
      <c r="AO290" s="744">
        <v>-3.9854433297068361</v>
      </c>
      <c r="AP290" s="744">
        <v>-4.1512051645245407</v>
      </c>
      <c r="AQ290" s="744">
        <v>-4.3131156794729471</v>
      </c>
      <c r="AR290" s="744">
        <v>-4.4710104672665327</v>
      </c>
      <c r="AS290" s="744">
        <v>-4.624354025319068</v>
      </c>
      <c r="AT290" s="744">
        <v>-4.7734749306446425</v>
      </c>
      <c r="AU290" s="744">
        <v>-4.9190169440769012</v>
      </c>
      <c r="AV290" s="744">
        <v>-5.060801903420499</v>
      </c>
      <c r="AW290" s="744">
        <v>-5.1990044805882167</v>
      </c>
      <c r="AX290" s="744">
        <v>-5.3338100516860258</v>
      </c>
      <c r="AY290" s="744">
        <v>-5.4653038021257601</v>
      </c>
      <c r="AZ290" s="744">
        <v>-5.593717884867667</v>
      </c>
      <c r="BA290" s="744">
        <v>-5.7191430222182493</v>
      </c>
      <c r="BB290" s="744">
        <v>-5.8415867354033377</v>
      </c>
      <c r="BC290" s="744">
        <v>-5.9609737080454792</v>
      </c>
      <c r="BD290" s="744">
        <v>-6.0776248141421263</v>
      </c>
      <c r="BE290" s="744">
        <v>-6.1915438897175168</v>
      </c>
      <c r="BF290" s="744">
        <v>-6.302839769722576</v>
      </c>
      <c r="BG290" s="744">
        <v>-6.4117674834075551</v>
      </c>
      <c r="BH290" s="744">
        <v>-6.5183539737941096</v>
      </c>
      <c r="BI290" s="744">
        <v>-6.62268984977492</v>
      </c>
      <c r="BJ290" s="744">
        <v>-6.7247138550133112</v>
      </c>
      <c r="BK290" s="744">
        <v>-6.8245406003112752</v>
      </c>
      <c r="BL290" s="744">
        <v>-6.9222262760967812</v>
      </c>
      <c r="BM290" s="744">
        <v>-7.0179231388041305</v>
      </c>
      <c r="BN290" s="744">
        <v>-7.1117956402457772</v>
      </c>
      <c r="BO290" s="744">
        <v>-7.2038410159730759</v>
      </c>
      <c r="BP290" s="744">
        <v>-7.2942064319277122</v>
      </c>
      <c r="BQ290" s="744">
        <v>-7.3828673935129494</v>
      </c>
      <c r="BR290" s="744">
        <v>-7.4698722723406181</v>
      </c>
      <c r="BS290" s="744">
        <v>-7.5550655709597674</v>
      </c>
      <c r="BT290" s="744">
        <v>-7.6385581492698922</v>
      </c>
      <c r="BU290" s="744">
        <v>-7.7203480002050586</v>
      </c>
      <c r="BV290" s="744">
        <v>-7.800544980008052</v>
      </c>
      <c r="BW290" s="744">
        <v>-7.8789706448893604</v>
      </c>
      <c r="BX290" s="744">
        <v>-7.9557517167030394</v>
      </c>
      <c r="BY290" s="744">
        <v>-8.0309022355935014</v>
      </c>
      <c r="BZ290" s="744">
        <v>-8.1044710279145971</v>
      </c>
      <c r="CA290" s="744">
        <v>-8.1764254264281568</v>
      </c>
      <c r="CB290" s="744">
        <v>-8.2468261090457773</v>
      </c>
      <c r="CC290" s="744">
        <v>-8.3155962164520485</v>
      </c>
      <c r="CD290" s="744">
        <v>-8.3828456444908177</v>
      </c>
      <c r="CE290" s="744">
        <v>-8.4484849130699846</v>
      </c>
      <c r="CF290" s="744">
        <v>-8.5125674277827024</v>
      </c>
      <c r="CG290" s="744">
        <v>-8.5751142891048797</v>
      </c>
      <c r="CH290" s="744">
        <v>-8.6361956630190022</v>
      </c>
      <c r="CI290" s="744">
        <v>-8.6957643259999795</v>
      </c>
    </row>
    <row r="291" spans="2:93" ht="56" x14ac:dyDescent="0.35">
      <c r="B291" s="1001" t="s">
        <v>523</v>
      </c>
      <c r="C291" s="1002" t="s">
        <v>2182</v>
      </c>
      <c r="D291" s="1003" t="s">
        <v>524</v>
      </c>
      <c r="E291" s="1002" t="s">
        <v>305</v>
      </c>
      <c r="F291" s="1004">
        <v>2</v>
      </c>
      <c r="G291" s="749"/>
      <c r="H291" s="750"/>
      <c r="I291" s="750"/>
      <c r="J291" s="750"/>
      <c r="K291" s="750"/>
      <c r="L291" s="750"/>
      <c r="M291" s="744">
        <v>-0.75447867818182068</v>
      </c>
      <c r="N291" s="744">
        <v>-1.5376848663636391</v>
      </c>
      <c r="O291" s="744">
        <v>-2.3281452345454614</v>
      </c>
      <c r="P291" s="744">
        <v>-3.1238681027272808</v>
      </c>
      <c r="Q291" s="744">
        <v>-3.9215409609091001</v>
      </c>
      <c r="R291" s="744">
        <v>-4.7414236790909214</v>
      </c>
      <c r="S291" s="744">
        <v>-5.5601207172727403</v>
      </c>
      <c r="T291" s="744">
        <v>-6.3809818454545599</v>
      </c>
      <c r="U291" s="744">
        <v>-7.2081173236363796</v>
      </c>
      <c r="V291" s="744">
        <v>-8.0422782418181988</v>
      </c>
      <c r="W291" s="744">
        <v>-8.8835738800000215</v>
      </c>
      <c r="X291" s="744">
        <v>-8.6028765900000206</v>
      </c>
      <c r="Y291" s="744">
        <v>-8.3304786900000209</v>
      </c>
      <c r="Z291" s="744">
        <v>-8.0680409500000216</v>
      </c>
      <c r="AA291" s="744">
        <v>-7.8098698000000208</v>
      </c>
      <c r="AB291" s="744">
        <v>-7.5587469530000213</v>
      </c>
      <c r="AC291" s="744">
        <v>-7.3152925220000213</v>
      </c>
      <c r="AD291" s="744">
        <v>-7.0790150100000204</v>
      </c>
      <c r="AE291" s="744">
        <v>-6.8499713750000204</v>
      </c>
      <c r="AF291" s="744">
        <v>-6.6270136150000205</v>
      </c>
      <c r="AG291" s="744">
        <v>-6.409257638000021</v>
      </c>
      <c r="AH291" s="744">
        <v>-6.1972037410000205</v>
      </c>
      <c r="AI291" s="744">
        <v>-5.9912959320000212</v>
      </c>
      <c r="AJ291" s="744">
        <v>-5.7909868520000209</v>
      </c>
      <c r="AK291" s="744">
        <v>-5.5956585790000215</v>
      </c>
      <c r="AL291" s="744">
        <v>-5.4169225880000216</v>
      </c>
      <c r="AM291" s="744">
        <v>-5.2429352710000217</v>
      </c>
      <c r="AN291" s="744">
        <v>-5.0732138050000213</v>
      </c>
      <c r="AO291" s="744">
        <v>-4.9076176920000218</v>
      </c>
      <c r="AP291" s="744">
        <v>-4.7458497480000208</v>
      </c>
      <c r="AQ291" s="744">
        <v>-4.5875352110000209</v>
      </c>
      <c r="AR291" s="744">
        <v>-4.4332752760000211</v>
      </c>
      <c r="AS291" s="744">
        <v>-4.2833269300000207</v>
      </c>
      <c r="AT291" s="744">
        <v>-4.1372711830000206</v>
      </c>
      <c r="AU291" s="744">
        <v>-3.9946642690000207</v>
      </c>
      <c r="AV291" s="744">
        <v>-3.855513617000021</v>
      </c>
      <c r="AW291" s="744">
        <v>-3.7198661990000206</v>
      </c>
      <c r="AX291" s="744">
        <v>-3.5875002240000207</v>
      </c>
      <c r="AY291" s="744">
        <v>-3.4581573790000206</v>
      </c>
      <c r="AZ291" s="744">
        <v>-3.3317990270000211</v>
      </c>
      <c r="BA291" s="744">
        <v>-3.2083997250000209</v>
      </c>
      <c r="BB291" s="744">
        <v>-3.0881678490000208</v>
      </c>
      <c r="BC291" s="744">
        <v>-2.9710361510000212</v>
      </c>
      <c r="BD291" s="744">
        <v>-2.8567874860000204</v>
      </c>
      <c r="BE291" s="744">
        <v>-2.7453385390000209</v>
      </c>
      <c r="BF291" s="744">
        <v>-2.6366094210000206</v>
      </c>
      <c r="BG291" s="744">
        <v>-2.5305981520000209</v>
      </c>
      <c r="BH291" s="744">
        <v>-2.4271765660000204</v>
      </c>
      <c r="BI291" s="744">
        <v>-2.3263702390000205</v>
      </c>
      <c r="BJ291" s="744">
        <v>-2.228168735000021</v>
      </c>
      <c r="BK291" s="744">
        <v>-2.1323677370000205</v>
      </c>
      <c r="BL291" s="744">
        <v>-2.039080412000021</v>
      </c>
      <c r="BM291" s="744">
        <v>-1.9481705140000205</v>
      </c>
      <c r="BN291" s="744">
        <v>-1.8594317000000204</v>
      </c>
      <c r="BO291" s="744">
        <v>-1.7728585970000212</v>
      </c>
      <c r="BP291" s="744">
        <v>-1.6882258600000206</v>
      </c>
      <c r="BQ291" s="744">
        <v>-1.6055660460000212</v>
      </c>
      <c r="BR291" s="744">
        <v>-1.5248453520000211</v>
      </c>
      <c r="BS291" s="744">
        <v>-1.4461065300000211</v>
      </c>
      <c r="BT291" s="744">
        <v>-1.3692499990000213</v>
      </c>
      <c r="BU291" s="744">
        <v>-1.294181543000021</v>
      </c>
      <c r="BV291" s="744">
        <v>-1.2208746750000214</v>
      </c>
      <c r="BW291" s="744">
        <v>-1.1493299490000206</v>
      </c>
      <c r="BX291" s="744">
        <v>-1.079450828000021</v>
      </c>
      <c r="BY291" s="744">
        <v>-1.0111723680000209</v>
      </c>
      <c r="BZ291" s="744">
        <v>-0.94438643000002109</v>
      </c>
      <c r="CA291" s="744">
        <v>-0.87917284000002116</v>
      </c>
      <c r="CB291" s="744">
        <v>-0.81550039500002125</v>
      </c>
      <c r="CC291" s="744">
        <v>-0.753435226000021</v>
      </c>
      <c r="CD291" s="744">
        <v>-0.69281858600002089</v>
      </c>
      <c r="CE291" s="744">
        <v>-0.63362432800002111</v>
      </c>
      <c r="CF291" s="744">
        <v>-0.57585070000002148</v>
      </c>
      <c r="CG291" s="744">
        <v>-0.51955897800002138</v>
      </c>
      <c r="CH291" s="744">
        <v>-0.46468149600002118</v>
      </c>
      <c r="CI291" s="744">
        <v>-0.41115162400002081</v>
      </c>
    </row>
    <row r="292" spans="2:93" ht="28" x14ac:dyDescent="0.35">
      <c r="B292" s="1001" t="s">
        <v>525</v>
      </c>
      <c r="C292" s="1002" t="s">
        <v>2183</v>
      </c>
      <c r="D292" s="1003" t="s">
        <v>526</v>
      </c>
      <c r="E292" s="1002" t="s">
        <v>305</v>
      </c>
      <c r="F292" s="1004">
        <v>2</v>
      </c>
      <c r="G292" s="749"/>
      <c r="H292" s="750"/>
      <c r="I292" s="750"/>
      <c r="J292" s="750"/>
      <c r="K292" s="750"/>
      <c r="L292" s="750"/>
      <c r="M292" s="744"/>
      <c r="N292" s="744"/>
      <c r="O292" s="744"/>
      <c r="P292" s="744"/>
      <c r="Q292" s="744"/>
      <c r="R292" s="744"/>
      <c r="S292" s="744"/>
      <c r="T292" s="744"/>
      <c r="U292" s="744"/>
      <c r="V292" s="744"/>
      <c r="W292" s="744"/>
      <c r="X292" s="744"/>
      <c r="Y292" s="744"/>
      <c r="Z292" s="744"/>
      <c r="AA292" s="744"/>
      <c r="AB292" s="744"/>
      <c r="AC292" s="744"/>
      <c r="AD292" s="744"/>
      <c r="AE292" s="744"/>
      <c r="AF292" s="744"/>
      <c r="AG292" s="744"/>
      <c r="AH292" s="744"/>
      <c r="AI292" s="744"/>
      <c r="AJ292" s="744"/>
      <c r="AK292" s="744"/>
      <c r="AL292" s="744"/>
      <c r="AM292" s="744"/>
      <c r="AN292" s="744"/>
      <c r="AO292" s="744"/>
      <c r="AP292" s="744"/>
      <c r="AQ292" s="744"/>
      <c r="AR292" s="744"/>
      <c r="AS292" s="744"/>
      <c r="AT292" s="744"/>
      <c r="AU292" s="744"/>
      <c r="AV292" s="744"/>
      <c r="AW292" s="744"/>
      <c r="AX292" s="744"/>
      <c r="AY292" s="744"/>
      <c r="AZ292" s="744"/>
      <c r="BA292" s="744"/>
      <c r="BB292" s="744"/>
      <c r="BC292" s="744"/>
      <c r="BD292" s="744"/>
      <c r="BE292" s="744"/>
      <c r="BF292" s="744"/>
      <c r="BG292" s="744"/>
      <c r="BH292" s="744"/>
      <c r="BI292" s="744"/>
      <c r="BJ292" s="744"/>
      <c r="BK292" s="744"/>
      <c r="BL292" s="744"/>
      <c r="BM292" s="744"/>
      <c r="BN292" s="744"/>
      <c r="BO292" s="744"/>
      <c r="BP292" s="744"/>
      <c r="BQ292" s="744"/>
      <c r="BR292" s="744"/>
      <c r="BS292" s="744"/>
      <c r="BT292" s="744"/>
      <c r="BU292" s="744"/>
      <c r="BV292" s="744"/>
      <c r="BW292" s="744"/>
      <c r="BX292" s="744"/>
      <c r="BY292" s="744"/>
      <c r="BZ292" s="744"/>
      <c r="CA292" s="744"/>
      <c r="CB292" s="744"/>
      <c r="CC292" s="744"/>
      <c r="CD292" s="744"/>
      <c r="CE292" s="744"/>
      <c r="CF292" s="744"/>
      <c r="CG292" s="744"/>
      <c r="CH292" s="744"/>
      <c r="CI292" s="744"/>
      <c r="CM292" s="58">
        <v>-6.25</v>
      </c>
      <c r="CN292" s="58">
        <v>-6.25</v>
      </c>
      <c r="CO292" s="58">
        <v>-6.25</v>
      </c>
    </row>
    <row r="293" spans="2:93" ht="28.5" thickBot="1" x14ac:dyDescent="0.4">
      <c r="B293" s="1005" t="s">
        <v>527</v>
      </c>
      <c r="C293" s="1006" t="s">
        <v>2184</v>
      </c>
      <c r="D293" s="1006" t="s">
        <v>528</v>
      </c>
      <c r="E293" s="1006" t="s">
        <v>305</v>
      </c>
      <c r="F293" s="1007">
        <v>2</v>
      </c>
      <c r="G293" s="775"/>
      <c r="H293" s="776"/>
      <c r="I293" s="776"/>
      <c r="J293" s="776"/>
      <c r="K293" s="776"/>
      <c r="L293" s="776"/>
      <c r="M293" s="777"/>
      <c r="N293" s="777"/>
      <c r="O293" s="777"/>
      <c r="P293" s="777"/>
      <c r="Q293" s="777"/>
      <c r="R293" s="777"/>
      <c r="S293" s="777"/>
      <c r="T293" s="777"/>
      <c r="U293" s="777"/>
      <c r="V293" s="777"/>
      <c r="W293" s="777"/>
      <c r="X293" s="777"/>
      <c r="Y293" s="777"/>
      <c r="Z293" s="777"/>
      <c r="AA293" s="777"/>
      <c r="AB293" s="777"/>
      <c r="AC293" s="777"/>
      <c r="AD293" s="777"/>
      <c r="AE293" s="777"/>
      <c r="AF293" s="777"/>
      <c r="AG293" s="777"/>
      <c r="AH293" s="777"/>
      <c r="AI293" s="777"/>
      <c r="AJ293" s="777"/>
      <c r="AK293" s="777"/>
      <c r="AL293" s="777"/>
      <c r="AM293" s="777"/>
      <c r="AN293" s="777"/>
      <c r="AO293" s="777"/>
      <c r="AP293" s="777"/>
      <c r="AQ293" s="777"/>
      <c r="AR293" s="777"/>
      <c r="AS293" s="777"/>
      <c r="AT293" s="777"/>
      <c r="AU293" s="777"/>
      <c r="AV293" s="777"/>
      <c r="AW293" s="777"/>
      <c r="AX293" s="777"/>
      <c r="AY293" s="777"/>
      <c r="AZ293" s="777"/>
      <c r="BA293" s="777"/>
      <c r="BB293" s="777"/>
      <c r="BC293" s="777"/>
      <c r="BD293" s="777"/>
      <c r="BE293" s="777"/>
      <c r="BF293" s="777"/>
      <c r="BG293" s="777"/>
      <c r="BH293" s="777"/>
      <c r="BI293" s="777"/>
      <c r="BJ293" s="777"/>
      <c r="BK293" s="777"/>
      <c r="BL293" s="777"/>
      <c r="BM293" s="777"/>
      <c r="BN293" s="777"/>
      <c r="BO293" s="777"/>
      <c r="BP293" s="777"/>
      <c r="BQ293" s="777"/>
      <c r="BR293" s="777"/>
      <c r="BS293" s="777"/>
      <c r="BT293" s="777"/>
      <c r="BU293" s="777"/>
      <c r="BV293" s="777"/>
      <c r="BW293" s="777"/>
      <c r="BX293" s="777"/>
      <c r="BY293" s="777"/>
      <c r="BZ293" s="777"/>
      <c r="CA293" s="777"/>
      <c r="CB293" s="777"/>
      <c r="CC293" s="777"/>
      <c r="CD293" s="777"/>
      <c r="CE293" s="777"/>
      <c r="CF293" s="777"/>
      <c r="CG293" s="777"/>
      <c r="CH293" s="777"/>
      <c r="CI293" s="778"/>
    </row>
    <row r="294" spans="2:93" ht="28" x14ac:dyDescent="0.35">
      <c r="B294" s="1008" t="s">
        <v>529</v>
      </c>
      <c r="C294" s="1009" t="s">
        <v>2185</v>
      </c>
      <c r="D294" s="1010" t="s">
        <v>530</v>
      </c>
      <c r="E294" s="1009" t="s">
        <v>305</v>
      </c>
      <c r="F294" s="1011">
        <v>2</v>
      </c>
      <c r="G294" s="741"/>
      <c r="H294" s="742"/>
      <c r="I294" s="742"/>
      <c r="J294" s="742"/>
      <c r="K294" s="742"/>
      <c r="L294" s="742"/>
      <c r="M294" s="744"/>
      <c r="N294" s="744"/>
      <c r="O294" s="744"/>
      <c r="P294" s="744"/>
      <c r="Q294" s="744"/>
      <c r="R294" s="744"/>
      <c r="S294" s="744"/>
      <c r="T294" s="744"/>
      <c r="U294" s="744"/>
      <c r="V294" s="744"/>
      <c r="W294" s="744"/>
      <c r="X294" s="744"/>
      <c r="Y294" s="744"/>
      <c r="Z294" s="744"/>
      <c r="AA294" s="744"/>
      <c r="AB294" s="744"/>
      <c r="AC294" s="744"/>
      <c r="AD294" s="744"/>
      <c r="AE294" s="744"/>
      <c r="AF294" s="744"/>
      <c r="AG294" s="744"/>
      <c r="AH294" s="744"/>
      <c r="AI294" s="744"/>
      <c r="AJ294" s="744"/>
      <c r="AK294" s="744"/>
      <c r="AL294" s="744"/>
      <c r="AM294" s="744"/>
      <c r="AN294" s="744"/>
      <c r="AO294" s="744"/>
      <c r="AP294" s="744"/>
      <c r="AQ294" s="744"/>
      <c r="AR294" s="744"/>
      <c r="AS294" s="744"/>
      <c r="AT294" s="744"/>
      <c r="AU294" s="744"/>
      <c r="AV294" s="744"/>
      <c r="AW294" s="744"/>
      <c r="AX294" s="744"/>
      <c r="AY294" s="744"/>
      <c r="AZ294" s="744"/>
      <c r="BA294" s="744"/>
      <c r="BB294" s="744"/>
      <c r="BC294" s="744"/>
      <c r="BD294" s="744"/>
      <c r="BE294" s="744"/>
      <c r="BF294" s="744"/>
      <c r="BG294" s="744"/>
      <c r="BH294" s="744"/>
      <c r="BI294" s="744"/>
      <c r="BJ294" s="744"/>
      <c r="BK294" s="744"/>
      <c r="BL294" s="744"/>
      <c r="BM294" s="744"/>
      <c r="BN294" s="744"/>
      <c r="BO294" s="744"/>
      <c r="BP294" s="744"/>
      <c r="BQ294" s="744"/>
      <c r="BR294" s="744"/>
      <c r="BS294" s="744"/>
      <c r="BT294" s="744"/>
      <c r="BU294" s="744"/>
      <c r="BV294" s="744"/>
      <c r="BW294" s="744"/>
      <c r="BX294" s="744"/>
      <c r="BY294" s="744"/>
      <c r="BZ294" s="744"/>
      <c r="CA294" s="744"/>
      <c r="CB294" s="744"/>
      <c r="CC294" s="744"/>
      <c r="CD294" s="744"/>
      <c r="CE294" s="744"/>
      <c r="CF294" s="744"/>
      <c r="CG294" s="744"/>
      <c r="CH294" s="744"/>
      <c r="CI294" s="744"/>
    </row>
    <row r="295" spans="2:93" ht="28" x14ac:dyDescent="0.35">
      <c r="B295" s="990" t="s">
        <v>531</v>
      </c>
      <c r="C295" s="991" t="s">
        <v>2186</v>
      </c>
      <c r="D295" s="992" t="s">
        <v>532</v>
      </c>
      <c r="E295" s="991" t="s">
        <v>305</v>
      </c>
      <c r="F295" s="993">
        <v>2</v>
      </c>
      <c r="G295" s="749"/>
      <c r="H295" s="750"/>
      <c r="I295" s="750"/>
      <c r="J295" s="750"/>
      <c r="K295" s="750"/>
      <c r="L295" s="750"/>
      <c r="M295" s="744"/>
      <c r="N295" s="744"/>
      <c r="O295" s="744"/>
      <c r="P295" s="744"/>
      <c r="Q295" s="744"/>
      <c r="R295" s="744"/>
      <c r="S295" s="744"/>
      <c r="T295" s="744"/>
      <c r="U295" s="744"/>
      <c r="V295" s="744"/>
      <c r="W295" s="744"/>
      <c r="X295" s="744"/>
      <c r="Y295" s="744"/>
      <c r="Z295" s="744"/>
      <c r="AA295" s="744"/>
      <c r="AB295" s="744"/>
      <c r="AC295" s="744"/>
      <c r="AD295" s="744"/>
      <c r="AE295" s="744"/>
      <c r="AF295" s="744"/>
      <c r="AG295" s="744"/>
      <c r="AH295" s="744"/>
      <c r="AI295" s="744"/>
      <c r="AJ295" s="744"/>
      <c r="AK295" s="744"/>
      <c r="AL295" s="744"/>
      <c r="AM295" s="744"/>
      <c r="AN295" s="744"/>
      <c r="AO295" s="744"/>
      <c r="AP295" s="744"/>
      <c r="AQ295" s="744"/>
      <c r="AR295" s="744"/>
      <c r="AS295" s="744"/>
      <c r="AT295" s="744"/>
      <c r="AU295" s="744"/>
      <c r="AV295" s="744"/>
      <c r="AW295" s="744"/>
      <c r="AX295" s="744"/>
      <c r="AY295" s="744"/>
      <c r="AZ295" s="744"/>
      <c r="BA295" s="744"/>
      <c r="BB295" s="744"/>
      <c r="BC295" s="744"/>
      <c r="BD295" s="744"/>
      <c r="BE295" s="744"/>
      <c r="BF295" s="744"/>
      <c r="BG295" s="744"/>
      <c r="BH295" s="744"/>
      <c r="BI295" s="744"/>
      <c r="BJ295" s="744"/>
      <c r="BK295" s="744"/>
      <c r="BL295" s="744"/>
      <c r="BM295" s="744"/>
      <c r="BN295" s="744"/>
      <c r="BO295" s="744"/>
      <c r="BP295" s="744"/>
      <c r="BQ295" s="744"/>
      <c r="BR295" s="744"/>
      <c r="BS295" s="744"/>
      <c r="BT295" s="744"/>
      <c r="BU295" s="744"/>
      <c r="BV295" s="744"/>
      <c r="BW295" s="744"/>
      <c r="BX295" s="744"/>
      <c r="BY295" s="744"/>
      <c r="BZ295" s="744"/>
      <c r="CA295" s="744"/>
      <c r="CB295" s="744"/>
      <c r="CC295" s="744"/>
      <c r="CD295" s="744"/>
      <c r="CE295" s="744"/>
      <c r="CF295" s="744"/>
      <c r="CG295" s="744"/>
      <c r="CH295" s="744"/>
      <c r="CI295" s="745"/>
    </row>
    <row r="296" spans="2:93" ht="28" x14ac:dyDescent="0.35">
      <c r="B296" s="990" t="s">
        <v>533</v>
      </c>
      <c r="C296" s="991" t="s">
        <v>2187</v>
      </c>
      <c r="D296" s="992" t="s">
        <v>534</v>
      </c>
      <c r="E296" s="991" t="s">
        <v>305</v>
      </c>
      <c r="F296" s="993">
        <v>2</v>
      </c>
      <c r="G296" s="749"/>
      <c r="H296" s="750"/>
      <c r="I296" s="750"/>
      <c r="J296" s="750"/>
      <c r="K296" s="750"/>
      <c r="L296" s="750"/>
      <c r="M296" s="744">
        <v>2.7000000000000003E-2</v>
      </c>
      <c r="N296" s="744">
        <v>5.4000000000000006E-2</v>
      </c>
      <c r="O296" s="744">
        <v>8.1000000000000016E-2</v>
      </c>
      <c r="P296" s="744">
        <v>0.10800000000000001</v>
      </c>
      <c r="Q296" s="744">
        <v>0.13500000000000001</v>
      </c>
      <c r="R296" s="744">
        <v>0.16200000000000003</v>
      </c>
      <c r="S296" s="744">
        <v>0.189</v>
      </c>
      <c r="T296" s="744">
        <v>0.21600000000000003</v>
      </c>
      <c r="U296" s="744">
        <v>0.24299999999999999</v>
      </c>
      <c r="V296" s="744">
        <v>0.27</v>
      </c>
      <c r="W296" s="744">
        <v>0.27</v>
      </c>
      <c r="X296" s="744">
        <v>0.27</v>
      </c>
      <c r="Y296" s="744">
        <v>0.27</v>
      </c>
      <c r="Z296" s="744">
        <v>0.27</v>
      </c>
      <c r="AA296" s="744">
        <v>0.27</v>
      </c>
      <c r="AB296" s="744">
        <v>0.27</v>
      </c>
      <c r="AC296" s="744">
        <v>0.27</v>
      </c>
      <c r="AD296" s="744">
        <v>0.27</v>
      </c>
      <c r="AE296" s="744">
        <v>0.27</v>
      </c>
      <c r="AF296" s="744">
        <v>0.27</v>
      </c>
      <c r="AG296" s="744">
        <v>0.27</v>
      </c>
      <c r="AH296" s="744">
        <v>0.27</v>
      </c>
      <c r="AI296" s="744">
        <v>0.27</v>
      </c>
      <c r="AJ296" s="744">
        <v>0.27</v>
      </c>
      <c r="AK296" s="744">
        <v>0.27</v>
      </c>
      <c r="AL296" s="744">
        <v>0.27000000000000007</v>
      </c>
      <c r="AM296" s="744">
        <v>0.27000000000000007</v>
      </c>
      <c r="AN296" s="744">
        <v>0.27000000000000007</v>
      </c>
      <c r="AO296" s="744">
        <v>0.27000000000000007</v>
      </c>
      <c r="AP296" s="744">
        <v>0.27000000000000007</v>
      </c>
      <c r="AQ296" s="744">
        <v>0.27000000000000007</v>
      </c>
      <c r="AR296" s="744">
        <v>0.27000000000000007</v>
      </c>
      <c r="AS296" s="744">
        <v>0.27000000000000007</v>
      </c>
      <c r="AT296" s="744">
        <v>0.27000000000000007</v>
      </c>
      <c r="AU296" s="744">
        <v>0.27000000000000007</v>
      </c>
      <c r="AV296" s="744">
        <v>0.27000000000000007</v>
      </c>
      <c r="AW296" s="744">
        <v>0.27000000000000007</v>
      </c>
      <c r="AX296" s="744">
        <v>0.27000000000000007</v>
      </c>
      <c r="AY296" s="744">
        <v>0.27000000000000007</v>
      </c>
      <c r="AZ296" s="744">
        <v>0.27000000000000007</v>
      </c>
      <c r="BA296" s="744">
        <v>0.27000000000000007</v>
      </c>
      <c r="BB296" s="744">
        <v>0.27000000000000007</v>
      </c>
      <c r="BC296" s="744">
        <v>0.27000000000000007</v>
      </c>
      <c r="BD296" s="744">
        <v>0.27000000000000007</v>
      </c>
      <c r="BE296" s="744">
        <v>0.27000000000000007</v>
      </c>
      <c r="BF296" s="744">
        <v>0.27000000000000007</v>
      </c>
      <c r="BG296" s="744">
        <v>0.27000000000000007</v>
      </c>
      <c r="BH296" s="744">
        <v>0.27000000000000007</v>
      </c>
      <c r="BI296" s="744">
        <v>0.27000000000000007</v>
      </c>
      <c r="BJ296" s="744">
        <v>0.27000000000000007</v>
      </c>
      <c r="BK296" s="744">
        <v>0.27000000000000007</v>
      </c>
      <c r="BL296" s="744">
        <v>0.27000000000000007</v>
      </c>
      <c r="BM296" s="744">
        <v>0.27000000000000007</v>
      </c>
      <c r="BN296" s="744">
        <v>0.27000000000000007</v>
      </c>
      <c r="BO296" s="744">
        <v>0.27000000000000007</v>
      </c>
      <c r="BP296" s="744">
        <v>0.27000000000000007</v>
      </c>
      <c r="BQ296" s="744">
        <v>0.27000000000000007</v>
      </c>
      <c r="BR296" s="744">
        <v>0.27000000000000007</v>
      </c>
      <c r="BS296" s="744">
        <v>0.27000000000000007</v>
      </c>
      <c r="BT296" s="744">
        <v>0.27000000000000007</v>
      </c>
      <c r="BU296" s="744">
        <v>0.27000000000000007</v>
      </c>
      <c r="BV296" s="744">
        <v>0.27000000000000007</v>
      </c>
      <c r="BW296" s="744">
        <v>0.27000000000000007</v>
      </c>
      <c r="BX296" s="744">
        <v>0.27000000000000007</v>
      </c>
      <c r="BY296" s="744">
        <v>0.27000000000000007</v>
      </c>
      <c r="BZ296" s="744">
        <v>0.27000000000000007</v>
      </c>
      <c r="CA296" s="744">
        <v>0.27000000000000007</v>
      </c>
      <c r="CB296" s="744">
        <v>0.27000000000000007</v>
      </c>
      <c r="CC296" s="744">
        <v>0.27000000000000007</v>
      </c>
      <c r="CD296" s="744">
        <v>0.27000000000000007</v>
      </c>
      <c r="CE296" s="744">
        <v>0.27000000000000007</v>
      </c>
      <c r="CF296" s="744">
        <v>0.27000000000000007</v>
      </c>
      <c r="CG296" s="744">
        <v>0.27000000000000007</v>
      </c>
      <c r="CH296" s="744">
        <v>0.27000000000000007</v>
      </c>
      <c r="CI296" s="744">
        <v>0.27000000000000007</v>
      </c>
    </row>
    <row r="297" spans="2:93" ht="28" x14ac:dyDescent="0.35">
      <c r="B297" s="990" t="s">
        <v>535</v>
      </c>
      <c r="C297" s="991" t="s">
        <v>2188</v>
      </c>
      <c r="D297" s="992" t="s">
        <v>536</v>
      </c>
      <c r="E297" s="991" t="s">
        <v>305</v>
      </c>
      <c r="F297" s="993">
        <v>2</v>
      </c>
      <c r="G297" s="749"/>
      <c r="H297" s="750"/>
      <c r="I297" s="750"/>
      <c r="J297" s="750"/>
      <c r="K297" s="750"/>
      <c r="L297" s="750"/>
      <c r="M297" s="744">
        <v>-6.9000000000000006E-2</v>
      </c>
      <c r="N297" s="744">
        <v>-0.13800000000000001</v>
      </c>
      <c r="O297" s="744">
        <v>-0.20700000000000002</v>
      </c>
      <c r="P297" s="744">
        <v>-0.27600000000000002</v>
      </c>
      <c r="Q297" s="744">
        <v>-0.34500000000000003</v>
      </c>
      <c r="R297" s="744">
        <v>-0.41400000000000003</v>
      </c>
      <c r="S297" s="744">
        <v>-0.48300000000000004</v>
      </c>
      <c r="T297" s="744">
        <v>-0.55200000000000005</v>
      </c>
      <c r="U297" s="744">
        <v>-0.621</v>
      </c>
      <c r="V297" s="744">
        <v>-0.69000000000000006</v>
      </c>
      <c r="W297" s="744">
        <v>-0.69000000000000006</v>
      </c>
      <c r="X297" s="744">
        <v>-0.69000000000000006</v>
      </c>
      <c r="Y297" s="744">
        <v>-0.69000000000000006</v>
      </c>
      <c r="Z297" s="744">
        <v>-0.69000000000000006</v>
      </c>
      <c r="AA297" s="744">
        <v>-0.69000000000000006</v>
      </c>
      <c r="AB297" s="744">
        <v>-0.69000000000000006</v>
      </c>
      <c r="AC297" s="744">
        <v>-0.69000000000000006</v>
      </c>
      <c r="AD297" s="744">
        <v>-0.69000000000000006</v>
      </c>
      <c r="AE297" s="744">
        <v>-0.69000000000000006</v>
      </c>
      <c r="AF297" s="744">
        <v>-0.69000000000000006</v>
      </c>
      <c r="AG297" s="744">
        <v>-0.69000000000000006</v>
      </c>
      <c r="AH297" s="744">
        <v>-0.69000000000000006</v>
      </c>
      <c r="AI297" s="744">
        <v>-0.69000000000000006</v>
      </c>
      <c r="AJ297" s="744">
        <v>-0.69000000000000006</v>
      </c>
      <c r="AK297" s="744">
        <v>-0.69000000000000006</v>
      </c>
      <c r="AL297" s="744">
        <v>-0.69000000000000006</v>
      </c>
      <c r="AM297" s="744">
        <v>-0.69000000000000006</v>
      </c>
      <c r="AN297" s="744">
        <v>-0.69000000000000006</v>
      </c>
      <c r="AO297" s="744">
        <v>-0.69000000000000006</v>
      </c>
      <c r="AP297" s="744">
        <v>-0.69000000000000006</v>
      </c>
      <c r="AQ297" s="744">
        <v>-0.69000000000000006</v>
      </c>
      <c r="AR297" s="744">
        <v>-0.69000000000000006</v>
      </c>
      <c r="AS297" s="744">
        <v>-0.69000000000000006</v>
      </c>
      <c r="AT297" s="744">
        <v>-0.69000000000000006</v>
      </c>
      <c r="AU297" s="744">
        <v>-0.69000000000000006</v>
      </c>
      <c r="AV297" s="744">
        <v>-0.69000000000000006</v>
      </c>
      <c r="AW297" s="744">
        <v>-0.69000000000000006</v>
      </c>
      <c r="AX297" s="744">
        <v>-0.69000000000000006</v>
      </c>
      <c r="AY297" s="744">
        <v>-0.69000000000000006</v>
      </c>
      <c r="AZ297" s="744">
        <v>-0.69000000000000006</v>
      </c>
      <c r="BA297" s="744">
        <v>-0.69000000000000006</v>
      </c>
      <c r="BB297" s="744">
        <v>-0.69000000000000006</v>
      </c>
      <c r="BC297" s="744">
        <v>-0.69000000000000006</v>
      </c>
      <c r="BD297" s="744">
        <v>-0.69000000000000006</v>
      </c>
      <c r="BE297" s="744">
        <v>-0.69000000000000006</v>
      </c>
      <c r="BF297" s="744">
        <v>-0.69000000000000006</v>
      </c>
      <c r="BG297" s="744">
        <v>-0.69000000000000006</v>
      </c>
      <c r="BH297" s="744">
        <v>-0.69000000000000006</v>
      </c>
      <c r="BI297" s="744">
        <v>-0.69000000000000006</v>
      </c>
      <c r="BJ297" s="744">
        <v>-0.69000000000000006</v>
      </c>
      <c r="BK297" s="744">
        <v>-0.69000000000000006</v>
      </c>
      <c r="BL297" s="744">
        <v>-0.69000000000000006</v>
      </c>
      <c r="BM297" s="744">
        <v>-0.69000000000000006</v>
      </c>
      <c r="BN297" s="744">
        <v>-0.69000000000000006</v>
      </c>
      <c r="BO297" s="744">
        <v>-0.69000000000000006</v>
      </c>
      <c r="BP297" s="744">
        <v>-0.69000000000000006</v>
      </c>
      <c r="BQ297" s="744">
        <v>-0.69000000000000006</v>
      </c>
      <c r="BR297" s="744">
        <v>-0.69000000000000006</v>
      </c>
      <c r="BS297" s="744">
        <v>-0.69000000000000006</v>
      </c>
      <c r="BT297" s="744">
        <v>-0.69000000000000006</v>
      </c>
      <c r="BU297" s="744">
        <v>-0.69000000000000006</v>
      </c>
      <c r="BV297" s="744">
        <v>-0.69000000000000006</v>
      </c>
      <c r="BW297" s="744">
        <v>-0.69000000000000006</v>
      </c>
      <c r="BX297" s="744">
        <v>-0.69000000000000006</v>
      </c>
      <c r="BY297" s="744">
        <v>-0.69000000000000006</v>
      </c>
      <c r="BZ297" s="744">
        <v>-0.69000000000000006</v>
      </c>
      <c r="CA297" s="744">
        <v>-0.69000000000000006</v>
      </c>
      <c r="CB297" s="744">
        <v>-0.69000000000000006</v>
      </c>
      <c r="CC297" s="744">
        <v>-0.69000000000000006</v>
      </c>
      <c r="CD297" s="744">
        <v>-0.69000000000000006</v>
      </c>
      <c r="CE297" s="744">
        <v>-0.69000000000000006</v>
      </c>
      <c r="CF297" s="744">
        <v>-0.69000000000000006</v>
      </c>
      <c r="CG297" s="744">
        <v>-0.69000000000000006</v>
      </c>
      <c r="CH297" s="744">
        <v>-0.69000000000000006</v>
      </c>
      <c r="CI297" s="744">
        <v>-0.69000000000000006</v>
      </c>
    </row>
    <row r="298" spans="2:93" ht="28" x14ac:dyDescent="0.35">
      <c r="B298" s="990" t="s">
        <v>537</v>
      </c>
      <c r="C298" s="991" t="s">
        <v>2189</v>
      </c>
      <c r="D298" s="992" t="s">
        <v>538</v>
      </c>
      <c r="E298" s="991" t="s">
        <v>305</v>
      </c>
      <c r="F298" s="993">
        <v>2</v>
      </c>
      <c r="G298" s="749"/>
      <c r="H298" s="750"/>
      <c r="I298" s="750"/>
      <c r="J298" s="750"/>
      <c r="K298" s="750"/>
      <c r="L298" s="750"/>
      <c r="M298" s="744"/>
      <c r="N298" s="744"/>
      <c r="O298" s="744"/>
      <c r="P298" s="744"/>
      <c r="Q298" s="744"/>
      <c r="R298" s="744"/>
      <c r="S298" s="744"/>
      <c r="T298" s="744"/>
      <c r="U298" s="744"/>
      <c r="V298" s="744"/>
      <c r="W298" s="744"/>
      <c r="X298" s="744"/>
      <c r="Y298" s="744"/>
      <c r="Z298" s="744"/>
      <c r="AA298" s="744"/>
      <c r="AB298" s="744"/>
      <c r="AC298" s="744">
        <v>0</v>
      </c>
      <c r="AD298" s="744"/>
      <c r="AE298" s="744"/>
      <c r="AF298" s="744"/>
      <c r="AG298" s="744"/>
      <c r="AH298" s="744"/>
      <c r="AI298" s="744"/>
      <c r="AJ298" s="744"/>
      <c r="AK298" s="744"/>
      <c r="AL298" s="744"/>
      <c r="AM298" s="744"/>
      <c r="AN298" s="744"/>
      <c r="AO298" s="744"/>
      <c r="AP298" s="744"/>
      <c r="AQ298" s="744"/>
      <c r="AR298" s="744"/>
      <c r="AS298" s="744"/>
      <c r="AT298" s="744"/>
      <c r="AU298" s="744"/>
      <c r="AV298" s="744"/>
      <c r="AW298" s="744"/>
      <c r="AX298" s="744"/>
      <c r="AY298" s="744"/>
      <c r="AZ298" s="744"/>
      <c r="BA298" s="744"/>
      <c r="BB298" s="744"/>
      <c r="BC298" s="744"/>
      <c r="BD298" s="744"/>
      <c r="BE298" s="744"/>
      <c r="BF298" s="744"/>
      <c r="BG298" s="744"/>
      <c r="BH298" s="744"/>
      <c r="BI298" s="744"/>
      <c r="BJ298" s="744"/>
      <c r="BK298" s="744"/>
      <c r="BL298" s="744"/>
      <c r="BM298" s="744"/>
      <c r="BN298" s="744"/>
      <c r="BO298" s="744"/>
      <c r="BP298" s="744"/>
      <c r="BQ298" s="744"/>
      <c r="BR298" s="744"/>
      <c r="BS298" s="744"/>
      <c r="BT298" s="744"/>
      <c r="BU298" s="744"/>
      <c r="BV298" s="744"/>
      <c r="BW298" s="744"/>
      <c r="BX298" s="744"/>
      <c r="BY298" s="744"/>
      <c r="BZ298" s="744"/>
      <c r="CA298" s="744"/>
      <c r="CB298" s="744"/>
      <c r="CC298" s="744"/>
      <c r="CD298" s="744"/>
      <c r="CE298" s="744"/>
      <c r="CF298" s="744"/>
      <c r="CG298" s="744"/>
      <c r="CH298" s="744"/>
      <c r="CI298" s="745"/>
    </row>
    <row r="299" spans="2:93" x14ac:dyDescent="0.35">
      <c r="B299" s="1012" t="s">
        <v>539</v>
      </c>
      <c r="C299" s="1013" t="s">
        <v>2190</v>
      </c>
      <c r="D299" s="1013" t="s">
        <v>540</v>
      </c>
      <c r="E299" s="1013" t="s">
        <v>305</v>
      </c>
      <c r="F299" s="1014">
        <v>2</v>
      </c>
      <c r="G299" s="775"/>
      <c r="H299" s="776"/>
      <c r="I299" s="776"/>
      <c r="J299" s="776"/>
      <c r="K299" s="776"/>
      <c r="L299" s="776"/>
      <c r="M299" s="777">
        <v>-0.438</v>
      </c>
      <c r="N299" s="777">
        <v>-0.876</v>
      </c>
      <c r="O299" s="777">
        <v>-1.3140000000000001</v>
      </c>
      <c r="P299" s="777">
        <v>-1.752</v>
      </c>
      <c r="Q299" s="777">
        <v>-2.19</v>
      </c>
      <c r="R299" s="777">
        <v>-2.4900000000000002</v>
      </c>
      <c r="S299" s="777">
        <v>-2.79</v>
      </c>
      <c r="T299" s="777">
        <v>-3.0900000000000003</v>
      </c>
      <c r="U299" s="777">
        <v>-3.3899999999999997</v>
      </c>
      <c r="V299" s="777">
        <v>-3.6900000000000004</v>
      </c>
      <c r="W299" s="777">
        <v>-4.048</v>
      </c>
      <c r="X299" s="777">
        <v>-4.4060000000000006</v>
      </c>
      <c r="Y299" s="777">
        <v>-4.7640000000000002</v>
      </c>
      <c r="Z299" s="777">
        <v>-5.1219999999999999</v>
      </c>
      <c r="AA299" s="777">
        <v>-5.48</v>
      </c>
      <c r="AB299" s="777">
        <v>-5.48</v>
      </c>
      <c r="AC299" s="777">
        <v>-5.48</v>
      </c>
      <c r="AD299" s="777">
        <v>-5.48</v>
      </c>
      <c r="AE299" s="777">
        <v>-5.48</v>
      </c>
      <c r="AF299" s="777">
        <v>-5.48</v>
      </c>
      <c r="AG299" s="777">
        <v>-5.48</v>
      </c>
      <c r="AH299" s="777">
        <v>-5.48</v>
      </c>
      <c r="AI299" s="777">
        <v>-5.48</v>
      </c>
      <c r="AJ299" s="777">
        <v>-5.48</v>
      </c>
      <c r="AK299" s="777">
        <v>-5.48</v>
      </c>
      <c r="AL299" s="777">
        <v>-5.48</v>
      </c>
      <c r="AM299" s="777">
        <v>-5.48</v>
      </c>
      <c r="AN299" s="777">
        <v>-5.48</v>
      </c>
      <c r="AO299" s="777">
        <v>-5.48</v>
      </c>
      <c r="AP299" s="777">
        <v>-5.48</v>
      </c>
      <c r="AQ299" s="777">
        <v>-5.48</v>
      </c>
      <c r="AR299" s="777">
        <v>-5.48</v>
      </c>
      <c r="AS299" s="777">
        <v>-5.48</v>
      </c>
      <c r="AT299" s="777">
        <v>-5.48</v>
      </c>
      <c r="AU299" s="777">
        <v>-5.48</v>
      </c>
      <c r="AV299" s="777">
        <v>-5.48</v>
      </c>
      <c r="AW299" s="777">
        <v>-5.48</v>
      </c>
      <c r="AX299" s="777">
        <v>-5.48</v>
      </c>
      <c r="AY299" s="777">
        <v>-5.48</v>
      </c>
      <c r="AZ299" s="777">
        <v>-5.48</v>
      </c>
      <c r="BA299" s="777">
        <v>-5.48</v>
      </c>
      <c r="BB299" s="777">
        <v>-5.48</v>
      </c>
      <c r="BC299" s="777">
        <v>-5.48</v>
      </c>
      <c r="BD299" s="777">
        <v>-5.48</v>
      </c>
      <c r="BE299" s="777">
        <v>-5.48</v>
      </c>
      <c r="BF299" s="777">
        <v>-5.48</v>
      </c>
      <c r="BG299" s="777">
        <v>-5.48</v>
      </c>
      <c r="BH299" s="777">
        <v>-5.48</v>
      </c>
      <c r="BI299" s="777">
        <v>-5.48</v>
      </c>
      <c r="BJ299" s="777">
        <v>-5.48</v>
      </c>
      <c r="BK299" s="777">
        <v>-5.48</v>
      </c>
      <c r="BL299" s="777">
        <v>-5.48</v>
      </c>
      <c r="BM299" s="777">
        <v>-5.48</v>
      </c>
      <c r="BN299" s="777">
        <v>-5.48</v>
      </c>
      <c r="BO299" s="777">
        <v>-5.48</v>
      </c>
      <c r="BP299" s="777">
        <v>-5.48</v>
      </c>
      <c r="BQ299" s="777">
        <v>-5.48</v>
      </c>
      <c r="BR299" s="777">
        <v>-5.48</v>
      </c>
      <c r="BS299" s="777">
        <v>-5.48</v>
      </c>
      <c r="BT299" s="777">
        <v>-5.48</v>
      </c>
      <c r="BU299" s="777">
        <v>-5.48</v>
      </c>
      <c r="BV299" s="777">
        <v>-5.48</v>
      </c>
      <c r="BW299" s="777">
        <v>-5.48</v>
      </c>
      <c r="BX299" s="777">
        <v>-5.48</v>
      </c>
      <c r="BY299" s="777">
        <v>-5.48</v>
      </c>
      <c r="BZ299" s="777">
        <v>-5.48</v>
      </c>
      <c r="CA299" s="777">
        <v>-5.48</v>
      </c>
      <c r="CB299" s="777">
        <v>-5.48</v>
      </c>
      <c r="CC299" s="777">
        <v>-5.48</v>
      </c>
      <c r="CD299" s="777">
        <v>-5.48</v>
      </c>
      <c r="CE299" s="777">
        <v>-5.48</v>
      </c>
      <c r="CF299" s="777">
        <v>-5.48</v>
      </c>
      <c r="CG299" s="777">
        <v>-5.48</v>
      </c>
      <c r="CH299" s="777">
        <v>-5.48</v>
      </c>
      <c r="CI299" s="777">
        <v>-5.48</v>
      </c>
    </row>
    <row r="300" spans="2:93" ht="14.5" thickBot="1" x14ac:dyDescent="0.4">
      <c r="B300" s="786"/>
      <c r="C300" s="786"/>
      <c r="D300" s="786"/>
      <c r="E300" s="786"/>
      <c r="F300" s="730"/>
      <c r="G300" s="731"/>
      <c r="H300" s="731"/>
      <c r="I300" s="731"/>
      <c r="J300" s="731"/>
      <c r="K300" s="731"/>
      <c r="L300" s="731"/>
      <c r="M300" s="731"/>
      <c r="N300" s="731"/>
      <c r="O300" s="731"/>
      <c r="P300" s="731"/>
      <c r="Q300" s="731"/>
      <c r="R300" s="731"/>
      <c r="S300" s="731"/>
      <c r="T300" s="731"/>
      <c r="U300" s="731"/>
      <c r="V300" s="731"/>
      <c r="W300" s="731"/>
      <c r="X300" s="731"/>
      <c r="Y300" s="731"/>
      <c r="Z300" s="731"/>
      <c r="AA300" s="731"/>
      <c r="AB300" s="731"/>
      <c r="AC300" s="731"/>
      <c r="AD300" s="731"/>
      <c r="AE300" s="731"/>
      <c r="AF300" s="731"/>
      <c r="AG300" s="731"/>
      <c r="AH300" s="731"/>
      <c r="AI300" s="731"/>
      <c r="AJ300" s="731"/>
      <c r="AK300" s="731"/>
      <c r="AL300" s="731"/>
      <c r="AM300" s="731"/>
      <c r="AN300" s="731"/>
      <c r="AO300" s="731"/>
      <c r="AP300" s="731"/>
      <c r="AQ300" s="731"/>
      <c r="AR300" s="731"/>
      <c r="AS300" s="731"/>
      <c r="AT300" s="731"/>
      <c r="AU300" s="731"/>
      <c r="AV300" s="731"/>
      <c r="AW300" s="731"/>
      <c r="AX300" s="731"/>
      <c r="AY300" s="731"/>
      <c r="AZ300" s="731"/>
      <c r="BA300" s="731"/>
      <c r="BB300" s="731"/>
      <c r="BC300" s="731"/>
      <c r="BD300" s="731"/>
      <c r="BE300" s="731"/>
      <c r="BF300" s="731"/>
      <c r="BG300" s="731"/>
      <c r="BH300" s="731"/>
      <c r="BI300" s="731"/>
      <c r="BJ300" s="731"/>
      <c r="BK300" s="731"/>
      <c r="BL300" s="731"/>
      <c r="BM300" s="731"/>
      <c r="BN300" s="731"/>
      <c r="BO300" s="731"/>
      <c r="BP300" s="731"/>
      <c r="BQ300" s="731"/>
      <c r="BR300" s="731"/>
      <c r="BS300" s="731"/>
      <c r="BT300" s="731"/>
      <c r="BU300" s="731"/>
      <c r="BV300" s="731"/>
      <c r="BW300" s="731"/>
      <c r="BX300" s="731"/>
      <c r="BY300" s="731"/>
      <c r="BZ300" s="731"/>
      <c r="CA300" s="731"/>
      <c r="CB300" s="731"/>
      <c r="CC300" s="731"/>
      <c r="CD300" s="731"/>
      <c r="CE300" s="731"/>
      <c r="CF300" s="731"/>
      <c r="CG300" s="731"/>
      <c r="CH300" s="731"/>
      <c r="CI300" s="731"/>
      <c r="CJ300" s="1165"/>
    </row>
    <row r="301" spans="2:93" ht="14.5" thickBot="1" x14ac:dyDescent="0.4">
      <c r="B301" s="976" t="s">
        <v>636</v>
      </c>
      <c r="C301" s="592"/>
      <c r="D301" s="593"/>
      <c r="E301" s="593"/>
      <c r="F301" s="593"/>
      <c r="G301" s="593"/>
      <c r="H301" s="593"/>
      <c r="I301" s="593"/>
      <c r="J301" s="593"/>
      <c r="K301" s="593"/>
      <c r="L301" s="593"/>
      <c r="M301" s="593"/>
      <c r="N301" s="593"/>
      <c r="O301" s="593"/>
      <c r="P301" s="593"/>
      <c r="Q301" s="593"/>
      <c r="R301" s="593"/>
      <c r="S301" s="593"/>
      <c r="T301" s="593"/>
      <c r="U301" s="593"/>
      <c r="V301" s="593"/>
      <c r="W301" s="593"/>
      <c r="X301" s="593"/>
      <c r="Y301" s="593"/>
      <c r="Z301" s="593"/>
      <c r="AA301" s="593"/>
      <c r="AB301" s="593"/>
      <c r="AC301" s="593"/>
      <c r="AD301" s="593"/>
      <c r="AE301" s="593"/>
      <c r="AF301" s="593"/>
      <c r="AG301" s="593"/>
      <c r="AH301" s="593"/>
      <c r="AI301" s="593"/>
      <c r="AJ301" s="593"/>
      <c r="AK301" s="593"/>
      <c r="AL301" s="593"/>
      <c r="AM301" s="593"/>
      <c r="AN301" s="593"/>
      <c r="AO301" s="593"/>
      <c r="AP301" s="593"/>
      <c r="AQ301" s="593"/>
      <c r="AR301" s="593"/>
      <c r="AS301" s="593"/>
      <c r="AT301" s="593"/>
      <c r="AU301" s="593"/>
      <c r="AV301" s="593"/>
      <c r="AW301" s="593"/>
      <c r="AX301" s="593"/>
      <c r="AY301" s="593"/>
      <c r="AZ301" s="593"/>
      <c r="BA301" s="593"/>
      <c r="BB301" s="593"/>
      <c r="BC301" s="593"/>
      <c r="BD301" s="593"/>
      <c r="BE301" s="593"/>
      <c r="BF301" s="593"/>
      <c r="BG301" s="593"/>
      <c r="BH301" s="593"/>
      <c r="BI301" s="593"/>
      <c r="BJ301" s="593"/>
      <c r="BK301" s="593"/>
      <c r="BL301" s="593"/>
      <c r="BM301" s="593"/>
      <c r="BN301" s="593"/>
      <c r="BO301" s="593"/>
      <c r="BP301" s="593"/>
      <c r="BQ301" s="593"/>
      <c r="BR301" s="593"/>
      <c r="BS301" s="593"/>
      <c r="BT301" s="593"/>
      <c r="BU301" s="593"/>
      <c r="BV301" s="593"/>
      <c r="BW301" s="593"/>
      <c r="BX301" s="593"/>
      <c r="BY301" s="593"/>
      <c r="BZ301" s="593"/>
      <c r="CA301" s="593"/>
      <c r="CB301" s="593"/>
      <c r="CC301" s="593"/>
      <c r="CD301" s="593"/>
      <c r="CE301" s="593"/>
      <c r="CF301" s="593"/>
      <c r="CG301" s="593"/>
      <c r="CH301" s="593"/>
      <c r="CI301" s="593"/>
    </row>
    <row r="302" spans="2:93" ht="14.5" thickBot="1" x14ac:dyDescent="0.4">
      <c r="B302" s="1015" t="s">
        <v>217</v>
      </c>
      <c r="C302" s="1016" t="s">
        <v>218</v>
      </c>
      <c r="D302" s="1016" t="s">
        <v>66</v>
      </c>
      <c r="E302" s="1016" t="s">
        <v>219</v>
      </c>
      <c r="F302" s="1017" t="s">
        <v>220</v>
      </c>
      <c r="G302" s="1015" t="s">
        <v>221</v>
      </c>
      <c r="H302" s="1015" t="s">
        <v>222</v>
      </c>
      <c r="I302" s="1015" t="s">
        <v>223</v>
      </c>
      <c r="J302" s="1015" t="s">
        <v>224</v>
      </c>
      <c r="K302" s="1015" t="s">
        <v>225</v>
      </c>
      <c r="L302" s="1015" t="s">
        <v>226</v>
      </c>
      <c r="M302" s="1016" t="s">
        <v>227</v>
      </c>
      <c r="N302" s="1016" t="s">
        <v>228</v>
      </c>
      <c r="O302" s="1016" t="s">
        <v>229</v>
      </c>
      <c r="P302" s="1016" t="s">
        <v>230</v>
      </c>
      <c r="Q302" s="1016" t="s">
        <v>231</v>
      </c>
      <c r="R302" s="1016" t="s">
        <v>232</v>
      </c>
      <c r="S302" s="1016" t="s">
        <v>233</v>
      </c>
      <c r="T302" s="1016" t="s">
        <v>234</v>
      </c>
      <c r="U302" s="1016" t="s">
        <v>235</v>
      </c>
      <c r="V302" s="1016" t="s">
        <v>236</v>
      </c>
      <c r="W302" s="1016" t="s">
        <v>237</v>
      </c>
      <c r="X302" s="1016" t="s">
        <v>238</v>
      </c>
      <c r="Y302" s="1016" t="s">
        <v>239</v>
      </c>
      <c r="Z302" s="1016" t="s">
        <v>240</v>
      </c>
      <c r="AA302" s="1016" t="s">
        <v>241</v>
      </c>
      <c r="AB302" s="1016" t="s">
        <v>242</v>
      </c>
      <c r="AC302" s="1016" t="s">
        <v>243</v>
      </c>
      <c r="AD302" s="1016" t="s">
        <v>244</v>
      </c>
      <c r="AE302" s="1016" t="s">
        <v>245</v>
      </c>
      <c r="AF302" s="1016" t="s">
        <v>246</v>
      </c>
      <c r="AG302" s="1016" t="s">
        <v>247</v>
      </c>
      <c r="AH302" s="1016" t="s">
        <v>248</v>
      </c>
      <c r="AI302" s="1016" t="s">
        <v>249</v>
      </c>
      <c r="AJ302" s="1016" t="s">
        <v>250</v>
      </c>
      <c r="AK302" s="1016" t="s">
        <v>251</v>
      </c>
      <c r="AL302" s="1016" t="s">
        <v>252</v>
      </c>
      <c r="AM302" s="1016" t="s">
        <v>253</v>
      </c>
      <c r="AN302" s="1016" t="s">
        <v>254</v>
      </c>
      <c r="AO302" s="1016" t="s">
        <v>255</v>
      </c>
      <c r="AP302" s="1016" t="s">
        <v>256</v>
      </c>
      <c r="AQ302" s="1016" t="s">
        <v>257</v>
      </c>
      <c r="AR302" s="1016" t="s">
        <v>258</v>
      </c>
      <c r="AS302" s="1016" t="s">
        <v>259</v>
      </c>
      <c r="AT302" s="1016" t="s">
        <v>260</v>
      </c>
      <c r="AU302" s="1016" t="s">
        <v>261</v>
      </c>
      <c r="AV302" s="1016" t="s">
        <v>262</v>
      </c>
      <c r="AW302" s="1016" t="s">
        <v>263</v>
      </c>
      <c r="AX302" s="1016" t="s">
        <v>264</v>
      </c>
      <c r="AY302" s="1016" t="s">
        <v>265</v>
      </c>
      <c r="AZ302" s="1016" t="s">
        <v>266</v>
      </c>
      <c r="BA302" s="1016" t="s">
        <v>267</v>
      </c>
      <c r="BB302" s="1016" t="s">
        <v>268</v>
      </c>
      <c r="BC302" s="1016" t="s">
        <v>269</v>
      </c>
      <c r="BD302" s="1016" t="s">
        <v>270</v>
      </c>
      <c r="BE302" s="1016" t="s">
        <v>271</v>
      </c>
      <c r="BF302" s="1016" t="s">
        <v>272</v>
      </c>
      <c r="BG302" s="1016" t="s">
        <v>273</v>
      </c>
      <c r="BH302" s="1016" t="s">
        <v>274</v>
      </c>
      <c r="BI302" s="1016" t="s">
        <v>275</v>
      </c>
      <c r="BJ302" s="1016" t="s">
        <v>276</v>
      </c>
      <c r="BK302" s="1016" t="s">
        <v>277</v>
      </c>
      <c r="BL302" s="1016" t="s">
        <v>278</v>
      </c>
      <c r="BM302" s="1016" t="s">
        <v>279</v>
      </c>
      <c r="BN302" s="1016" t="s">
        <v>280</v>
      </c>
      <c r="BO302" s="1016" t="s">
        <v>281</v>
      </c>
      <c r="BP302" s="1016" t="s">
        <v>282</v>
      </c>
      <c r="BQ302" s="1016" t="s">
        <v>283</v>
      </c>
      <c r="BR302" s="1016" t="s">
        <v>284</v>
      </c>
      <c r="BS302" s="1016" t="s">
        <v>285</v>
      </c>
      <c r="BT302" s="1016" t="s">
        <v>286</v>
      </c>
      <c r="BU302" s="1016" t="s">
        <v>287</v>
      </c>
      <c r="BV302" s="1016" t="s">
        <v>288</v>
      </c>
      <c r="BW302" s="1016" t="s">
        <v>289</v>
      </c>
      <c r="BX302" s="1016" t="s">
        <v>290</v>
      </c>
      <c r="BY302" s="1016" t="s">
        <v>291</v>
      </c>
      <c r="BZ302" s="1016" t="s">
        <v>292</v>
      </c>
      <c r="CA302" s="1016" t="s">
        <v>293</v>
      </c>
      <c r="CB302" s="1016" t="s">
        <v>294</v>
      </c>
      <c r="CC302" s="1016" t="s">
        <v>295</v>
      </c>
      <c r="CD302" s="1016" t="s">
        <v>296</v>
      </c>
      <c r="CE302" s="1016" t="s">
        <v>297</v>
      </c>
      <c r="CF302" s="1016" t="s">
        <v>298</v>
      </c>
      <c r="CG302" s="1016" t="s">
        <v>299</v>
      </c>
      <c r="CH302" s="1016" t="s">
        <v>300</v>
      </c>
      <c r="CI302" s="1017" t="s">
        <v>301</v>
      </c>
      <c r="CJ302" s="1016" t="s">
        <v>302</v>
      </c>
      <c r="CK302" s="796"/>
    </row>
    <row r="303" spans="2:93" x14ac:dyDescent="0.35">
      <c r="B303" s="1018" t="s">
        <v>546</v>
      </c>
      <c r="C303" s="1019" t="s">
        <v>304</v>
      </c>
      <c r="D303" s="1010" t="s">
        <v>82</v>
      </c>
      <c r="E303" s="1020" t="s">
        <v>305</v>
      </c>
      <c r="F303" s="1021">
        <v>2</v>
      </c>
      <c r="G303" s="602">
        <f>G306+G308+G310+G356</f>
        <v>90.54</v>
      </c>
      <c r="H303" s="602">
        <f t="shared" ref="H303:BS303" si="203">H306+H308+H310+H356</f>
        <v>92.583559690000001</v>
      </c>
      <c r="I303" s="602">
        <f t="shared" si="203"/>
        <v>99.843662949999995</v>
      </c>
      <c r="J303" s="602">
        <f t="shared" si="203"/>
        <v>99.909289400000006</v>
      </c>
      <c r="K303" s="602">
        <f t="shared" si="203"/>
        <v>99.878578749999988</v>
      </c>
      <c r="L303" s="602">
        <f t="shared" si="203"/>
        <v>99.213970059999994</v>
      </c>
      <c r="M303" s="795">
        <f t="shared" si="203"/>
        <v>99.640752329999984</v>
      </c>
      <c r="N303" s="795">
        <f t="shared" si="203"/>
        <v>99.792036690000018</v>
      </c>
      <c r="O303" s="795">
        <f t="shared" si="203"/>
        <v>100.11416265999999</v>
      </c>
      <c r="P303" s="795">
        <f t="shared" si="203"/>
        <v>100.35793423000001</v>
      </c>
      <c r="Q303" s="795">
        <f t="shared" si="203"/>
        <v>100.31305593706833</v>
      </c>
      <c r="R303" s="795">
        <f t="shared" si="203"/>
        <v>100.44748133811768</v>
      </c>
      <c r="S303" s="795">
        <f t="shared" si="203"/>
        <v>125.37312128942312</v>
      </c>
      <c r="T303" s="795">
        <f t="shared" si="203"/>
        <v>126.13661828411303</v>
      </c>
      <c r="U303" s="795">
        <f t="shared" si="203"/>
        <v>125.95429456044816</v>
      </c>
      <c r="V303" s="795">
        <f t="shared" si="203"/>
        <v>125.71595243670153</v>
      </c>
      <c r="W303" s="795">
        <f t="shared" si="203"/>
        <v>125.81533595825304</v>
      </c>
      <c r="X303" s="795">
        <f t="shared" si="203"/>
        <v>143.8751516144622</v>
      </c>
      <c r="Y303" s="795">
        <f t="shared" si="203"/>
        <v>143.87613558903925</v>
      </c>
      <c r="Z303" s="795">
        <f t="shared" si="203"/>
        <v>143.85496633166724</v>
      </c>
      <c r="AA303" s="795">
        <f t="shared" si="203"/>
        <v>143.44966940629541</v>
      </c>
      <c r="AB303" s="795">
        <f t="shared" si="203"/>
        <v>143.40420172632338</v>
      </c>
      <c r="AC303" s="795">
        <f t="shared" si="203"/>
        <v>143.34494380177918</v>
      </c>
      <c r="AD303" s="795">
        <f t="shared" si="203"/>
        <v>143.27084200386673</v>
      </c>
      <c r="AE303" s="795">
        <f t="shared" si="203"/>
        <v>143.18629534431483</v>
      </c>
      <c r="AF303" s="795">
        <f t="shared" si="203"/>
        <v>143.08158858594075</v>
      </c>
      <c r="AG303" s="795">
        <f t="shared" si="203"/>
        <v>143.21156152671816</v>
      </c>
      <c r="AH303" s="795">
        <f t="shared" si="203"/>
        <v>143.32333715254561</v>
      </c>
      <c r="AI303" s="795">
        <f t="shared" si="203"/>
        <v>143.42559373313867</v>
      </c>
      <c r="AJ303" s="795">
        <f t="shared" si="203"/>
        <v>143.51409128217026</v>
      </c>
      <c r="AK303" s="795">
        <f t="shared" si="203"/>
        <v>143.58398881387808</v>
      </c>
      <c r="AL303" s="795">
        <f t="shared" si="203"/>
        <v>143.5961464558917</v>
      </c>
      <c r="AM303" s="795">
        <f t="shared" si="203"/>
        <v>143.60429695981472</v>
      </c>
      <c r="AN303" s="795">
        <f t="shared" si="203"/>
        <v>143.61175541006952</v>
      </c>
      <c r="AO303" s="795">
        <f t="shared" si="203"/>
        <v>143.72571123229315</v>
      </c>
      <c r="AP303" s="795">
        <f t="shared" si="203"/>
        <v>143.84141763047546</v>
      </c>
      <c r="AQ303" s="795">
        <f t="shared" si="203"/>
        <v>143.95771257252704</v>
      </c>
      <c r="AR303" s="795">
        <f t="shared" si="203"/>
        <v>144.07388941173346</v>
      </c>
      <c r="AS303" s="795">
        <f t="shared" si="203"/>
        <v>144.18331971768094</v>
      </c>
      <c r="AT303" s="795">
        <f t="shared" si="203"/>
        <v>144.28753406335537</v>
      </c>
      <c r="AU303" s="795">
        <f t="shared" si="203"/>
        <v>144.39203498092309</v>
      </c>
      <c r="AV303" s="795">
        <f t="shared" si="203"/>
        <v>144.49390434557949</v>
      </c>
      <c r="AW303" s="795">
        <f t="shared" si="203"/>
        <v>144.59443664241178</v>
      </c>
      <c r="AX303" s="795">
        <f t="shared" si="203"/>
        <v>144.69559576231396</v>
      </c>
      <c r="AY303" s="795">
        <f t="shared" si="203"/>
        <v>144.79712513087424</v>
      </c>
      <c r="AZ303" s="795">
        <f t="shared" si="203"/>
        <v>144.90100441513232</v>
      </c>
      <c r="BA303" s="795">
        <f t="shared" si="203"/>
        <v>145.00753396778174</v>
      </c>
      <c r="BB303" s="795">
        <f t="shared" si="203"/>
        <v>145.11620549259666</v>
      </c>
      <c r="BC303" s="795">
        <f t="shared" si="203"/>
        <v>145.2250866589545</v>
      </c>
      <c r="BD303" s="795">
        <f t="shared" si="203"/>
        <v>145.33692977485785</v>
      </c>
      <c r="BE303" s="795">
        <f t="shared" si="203"/>
        <v>145.45088213428247</v>
      </c>
      <c r="BF303" s="795">
        <f t="shared" si="203"/>
        <v>145.56738000227742</v>
      </c>
      <c r="BG303" s="795">
        <f t="shared" si="203"/>
        <v>145.68861739559242</v>
      </c>
      <c r="BH303" s="795">
        <f t="shared" si="203"/>
        <v>145.81408986420587</v>
      </c>
      <c r="BI303" s="795">
        <f t="shared" si="203"/>
        <v>145.94400102222508</v>
      </c>
      <c r="BJ303" s="795">
        <f t="shared" si="203"/>
        <v>146.07669153698669</v>
      </c>
      <c r="BK303" s="795">
        <f t="shared" si="203"/>
        <v>146.21286364068871</v>
      </c>
      <c r="BL303" s="795">
        <f t="shared" si="203"/>
        <v>146.3521286359032</v>
      </c>
      <c r="BM303" s="795">
        <f t="shared" si="203"/>
        <v>146.49559315419586</v>
      </c>
      <c r="BN303" s="795">
        <f t="shared" si="203"/>
        <v>146.64479715675421</v>
      </c>
      <c r="BO303" s="795">
        <f t="shared" si="203"/>
        <v>146.79892057602692</v>
      </c>
      <c r="BP303" s="795">
        <f t="shared" si="203"/>
        <v>146.95958992907228</v>
      </c>
      <c r="BQ303" s="795">
        <f t="shared" si="203"/>
        <v>147.12572710048704</v>
      </c>
      <c r="BR303" s="795">
        <f t="shared" si="203"/>
        <v>147.29729405065936</v>
      </c>
      <c r="BS303" s="795">
        <f t="shared" si="203"/>
        <v>147.47146854604023</v>
      </c>
      <c r="BT303" s="795">
        <f t="shared" ref="BT303:CI303" si="204">BT306+BT308+BT310+BT356</f>
        <v>147.64917674673009</v>
      </c>
      <c r="BU303" s="795">
        <f t="shared" si="204"/>
        <v>147.83004637379491</v>
      </c>
      <c r="BV303" s="795">
        <f t="shared" si="204"/>
        <v>148.01479855599192</v>
      </c>
      <c r="BW303" s="795">
        <f t="shared" si="204"/>
        <v>148.2004969971106</v>
      </c>
      <c r="BX303" s="795">
        <f t="shared" si="204"/>
        <v>148.38843967729696</v>
      </c>
      <c r="BY303" s="795">
        <f t="shared" si="204"/>
        <v>148.57845850440648</v>
      </c>
      <c r="BZ303" s="795">
        <f t="shared" si="204"/>
        <v>148.7711582120854</v>
      </c>
      <c r="CA303" s="795">
        <f t="shared" si="204"/>
        <v>148.96493209457182</v>
      </c>
      <c r="CB303" s="795">
        <f t="shared" si="204"/>
        <v>149.15997983295421</v>
      </c>
      <c r="CC303" s="795">
        <f t="shared" si="204"/>
        <v>149.35404994954794</v>
      </c>
      <c r="CD303" s="795">
        <f t="shared" si="204"/>
        <v>149.54890719450918</v>
      </c>
      <c r="CE303" s="795">
        <f t="shared" si="204"/>
        <v>149.74292973393</v>
      </c>
      <c r="CF303" s="795">
        <f t="shared" si="204"/>
        <v>149.93601640521729</v>
      </c>
      <c r="CG303" s="795">
        <f t="shared" si="204"/>
        <v>150.1270170368951</v>
      </c>
      <c r="CH303" s="795">
        <f t="shared" si="204"/>
        <v>150.23958306598098</v>
      </c>
      <c r="CI303" s="795">
        <f t="shared" si="204"/>
        <v>150.34990993600002</v>
      </c>
      <c r="CJ303" s="1478"/>
      <c r="CK303" s="796"/>
    </row>
    <row r="304" spans="2:93" x14ac:dyDescent="0.35">
      <c r="B304" s="1022" t="s">
        <v>547</v>
      </c>
      <c r="C304" s="989" t="s">
        <v>548</v>
      </c>
      <c r="D304" s="992" t="s">
        <v>549</v>
      </c>
      <c r="E304" s="1023" t="s">
        <v>305</v>
      </c>
      <c r="F304" s="1024">
        <v>2</v>
      </c>
      <c r="G304" s="880">
        <f t="shared" ref="G304:AL304" si="205">G206+G276</f>
        <v>0</v>
      </c>
      <c r="H304" s="880">
        <f t="shared" si="205"/>
        <v>0</v>
      </c>
      <c r="I304" s="880">
        <f t="shared" si="205"/>
        <v>0</v>
      </c>
      <c r="J304" s="880">
        <f t="shared" si="205"/>
        <v>0</v>
      </c>
      <c r="K304" s="880">
        <f t="shared" si="205"/>
        <v>0</v>
      </c>
      <c r="L304" s="880">
        <f t="shared" si="205"/>
        <v>0</v>
      </c>
      <c r="M304" s="880">
        <f t="shared" si="205"/>
        <v>0</v>
      </c>
      <c r="N304" s="880">
        <f t="shared" si="205"/>
        <v>0</v>
      </c>
      <c r="O304" s="880">
        <f t="shared" si="205"/>
        <v>0</v>
      </c>
      <c r="P304" s="880">
        <f t="shared" si="205"/>
        <v>0</v>
      </c>
      <c r="Q304" s="880">
        <f t="shared" si="205"/>
        <v>0</v>
      </c>
      <c r="R304" s="880">
        <f t="shared" si="205"/>
        <v>0</v>
      </c>
      <c r="S304" s="880">
        <f t="shared" si="205"/>
        <v>0</v>
      </c>
      <c r="T304" s="880">
        <f t="shared" si="205"/>
        <v>0</v>
      </c>
      <c r="U304" s="880">
        <f t="shared" si="205"/>
        <v>0</v>
      </c>
      <c r="V304" s="880">
        <f t="shared" si="205"/>
        <v>0</v>
      </c>
      <c r="W304" s="880">
        <f t="shared" si="205"/>
        <v>0</v>
      </c>
      <c r="X304" s="880">
        <f t="shared" si="205"/>
        <v>0</v>
      </c>
      <c r="Y304" s="880">
        <f t="shared" si="205"/>
        <v>0</v>
      </c>
      <c r="Z304" s="880">
        <f t="shared" si="205"/>
        <v>0</v>
      </c>
      <c r="AA304" s="880">
        <f t="shared" si="205"/>
        <v>2</v>
      </c>
      <c r="AB304" s="880">
        <f t="shared" si="205"/>
        <v>2</v>
      </c>
      <c r="AC304" s="880">
        <f t="shared" si="205"/>
        <v>2</v>
      </c>
      <c r="AD304" s="880">
        <f t="shared" si="205"/>
        <v>2</v>
      </c>
      <c r="AE304" s="880">
        <f t="shared" si="205"/>
        <v>2</v>
      </c>
      <c r="AF304" s="880">
        <f t="shared" si="205"/>
        <v>2</v>
      </c>
      <c r="AG304" s="880">
        <f t="shared" si="205"/>
        <v>2</v>
      </c>
      <c r="AH304" s="880">
        <f t="shared" si="205"/>
        <v>2</v>
      </c>
      <c r="AI304" s="880">
        <f t="shared" si="205"/>
        <v>2</v>
      </c>
      <c r="AJ304" s="880">
        <f t="shared" si="205"/>
        <v>2</v>
      </c>
      <c r="AK304" s="880">
        <f t="shared" si="205"/>
        <v>2</v>
      </c>
      <c r="AL304" s="880">
        <f t="shared" si="205"/>
        <v>2</v>
      </c>
      <c r="AM304" s="880">
        <f t="shared" ref="AM304:BR304" si="206">AM206+AM276</f>
        <v>2</v>
      </c>
      <c r="AN304" s="880">
        <f t="shared" si="206"/>
        <v>2</v>
      </c>
      <c r="AO304" s="880">
        <f t="shared" si="206"/>
        <v>2</v>
      </c>
      <c r="AP304" s="880">
        <f t="shared" si="206"/>
        <v>2</v>
      </c>
      <c r="AQ304" s="880">
        <f t="shared" si="206"/>
        <v>2</v>
      </c>
      <c r="AR304" s="880">
        <f t="shared" si="206"/>
        <v>2</v>
      </c>
      <c r="AS304" s="880">
        <f t="shared" si="206"/>
        <v>2</v>
      </c>
      <c r="AT304" s="880">
        <f t="shared" si="206"/>
        <v>2</v>
      </c>
      <c r="AU304" s="880">
        <f t="shared" si="206"/>
        <v>2</v>
      </c>
      <c r="AV304" s="880">
        <f t="shared" si="206"/>
        <v>2</v>
      </c>
      <c r="AW304" s="880">
        <f t="shared" si="206"/>
        <v>2</v>
      </c>
      <c r="AX304" s="880">
        <f t="shared" si="206"/>
        <v>2</v>
      </c>
      <c r="AY304" s="880">
        <f t="shared" si="206"/>
        <v>2</v>
      </c>
      <c r="AZ304" s="880">
        <f t="shared" si="206"/>
        <v>2</v>
      </c>
      <c r="BA304" s="880">
        <f t="shared" si="206"/>
        <v>2</v>
      </c>
      <c r="BB304" s="880">
        <f t="shared" si="206"/>
        <v>2</v>
      </c>
      <c r="BC304" s="880">
        <f t="shared" si="206"/>
        <v>2</v>
      </c>
      <c r="BD304" s="880">
        <f t="shared" si="206"/>
        <v>2</v>
      </c>
      <c r="BE304" s="880">
        <f t="shared" si="206"/>
        <v>2</v>
      </c>
      <c r="BF304" s="880">
        <f t="shared" si="206"/>
        <v>2</v>
      </c>
      <c r="BG304" s="880">
        <f t="shared" si="206"/>
        <v>2</v>
      </c>
      <c r="BH304" s="880">
        <f t="shared" si="206"/>
        <v>2</v>
      </c>
      <c r="BI304" s="880">
        <f t="shared" si="206"/>
        <v>2</v>
      </c>
      <c r="BJ304" s="880">
        <f t="shared" si="206"/>
        <v>2</v>
      </c>
      <c r="BK304" s="880">
        <f t="shared" si="206"/>
        <v>2</v>
      </c>
      <c r="BL304" s="880">
        <f t="shared" si="206"/>
        <v>2</v>
      </c>
      <c r="BM304" s="880">
        <f t="shared" si="206"/>
        <v>2</v>
      </c>
      <c r="BN304" s="880">
        <f t="shared" si="206"/>
        <v>2</v>
      </c>
      <c r="BO304" s="880">
        <f t="shared" si="206"/>
        <v>2</v>
      </c>
      <c r="BP304" s="880">
        <f t="shared" si="206"/>
        <v>2</v>
      </c>
      <c r="BQ304" s="880">
        <f t="shared" si="206"/>
        <v>2</v>
      </c>
      <c r="BR304" s="880">
        <f t="shared" si="206"/>
        <v>2</v>
      </c>
      <c r="BS304" s="880">
        <f t="shared" ref="BS304:CI304" si="207">BS206+BS276</f>
        <v>2</v>
      </c>
      <c r="BT304" s="880">
        <f t="shared" si="207"/>
        <v>2</v>
      </c>
      <c r="BU304" s="880">
        <f t="shared" si="207"/>
        <v>2</v>
      </c>
      <c r="BV304" s="880">
        <f t="shared" si="207"/>
        <v>2</v>
      </c>
      <c r="BW304" s="880">
        <f t="shared" si="207"/>
        <v>2</v>
      </c>
      <c r="BX304" s="880">
        <f t="shared" si="207"/>
        <v>2</v>
      </c>
      <c r="BY304" s="880">
        <f t="shared" si="207"/>
        <v>2</v>
      </c>
      <c r="BZ304" s="880">
        <f t="shared" si="207"/>
        <v>2</v>
      </c>
      <c r="CA304" s="880">
        <f t="shared" si="207"/>
        <v>2</v>
      </c>
      <c r="CB304" s="880">
        <f t="shared" si="207"/>
        <v>2</v>
      </c>
      <c r="CC304" s="880">
        <f t="shared" si="207"/>
        <v>2</v>
      </c>
      <c r="CD304" s="880">
        <f t="shared" si="207"/>
        <v>2</v>
      </c>
      <c r="CE304" s="880">
        <f t="shared" si="207"/>
        <v>2</v>
      </c>
      <c r="CF304" s="880">
        <f t="shared" si="207"/>
        <v>2</v>
      </c>
      <c r="CG304" s="880">
        <f t="shared" si="207"/>
        <v>2</v>
      </c>
      <c r="CH304" s="880">
        <f t="shared" si="207"/>
        <v>2</v>
      </c>
      <c r="CI304" s="803">
        <f t="shared" si="207"/>
        <v>2</v>
      </c>
      <c r="CJ304" s="1478"/>
      <c r="CK304" s="796"/>
    </row>
    <row r="305" spans="2:89" x14ac:dyDescent="0.35">
      <c r="B305" s="1022" t="s">
        <v>550</v>
      </c>
      <c r="C305" s="989" t="s">
        <v>309</v>
      </c>
      <c r="D305" s="992" t="s">
        <v>551</v>
      </c>
      <c r="E305" s="1023" t="s">
        <v>305</v>
      </c>
      <c r="F305" s="1024">
        <v>2</v>
      </c>
      <c r="G305" s="642">
        <f t="shared" ref="G305:AL305" si="208">G207+G277</f>
        <v>0</v>
      </c>
      <c r="H305" s="642">
        <f t="shared" si="208"/>
        <v>0</v>
      </c>
      <c r="I305" s="642">
        <f t="shared" si="208"/>
        <v>0</v>
      </c>
      <c r="J305" s="642">
        <f t="shared" si="208"/>
        <v>0</v>
      </c>
      <c r="K305" s="642">
        <f t="shared" si="208"/>
        <v>0</v>
      </c>
      <c r="L305" s="642">
        <f t="shared" si="208"/>
        <v>0</v>
      </c>
      <c r="M305" s="802">
        <f t="shared" si="208"/>
        <v>0</v>
      </c>
      <c r="N305" s="802">
        <f t="shared" si="208"/>
        <v>0</v>
      </c>
      <c r="O305" s="802">
        <f t="shared" si="208"/>
        <v>0</v>
      </c>
      <c r="P305" s="802">
        <f t="shared" si="208"/>
        <v>0</v>
      </c>
      <c r="Q305" s="802">
        <f t="shared" si="208"/>
        <v>0</v>
      </c>
      <c r="R305" s="802">
        <f t="shared" si="208"/>
        <v>0</v>
      </c>
      <c r="S305" s="802">
        <f t="shared" si="208"/>
        <v>0</v>
      </c>
      <c r="T305" s="802">
        <f t="shared" si="208"/>
        <v>0</v>
      </c>
      <c r="U305" s="802">
        <f t="shared" si="208"/>
        <v>0</v>
      </c>
      <c r="V305" s="802">
        <f t="shared" si="208"/>
        <v>0</v>
      </c>
      <c r="W305" s="802">
        <f t="shared" si="208"/>
        <v>0</v>
      </c>
      <c r="X305" s="802">
        <f t="shared" si="208"/>
        <v>0</v>
      </c>
      <c r="Y305" s="802">
        <f t="shared" si="208"/>
        <v>0</v>
      </c>
      <c r="Z305" s="802">
        <f t="shared" si="208"/>
        <v>0</v>
      </c>
      <c r="AA305" s="802">
        <f t="shared" si="208"/>
        <v>0</v>
      </c>
      <c r="AB305" s="802">
        <f t="shared" si="208"/>
        <v>0</v>
      </c>
      <c r="AC305" s="802">
        <f t="shared" si="208"/>
        <v>0</v>
      </c>
      <c r="AD305" s="802">
        <f t="shared" si="208"/>
        <v>0</v>
      </c>
      <c r="AE305" s="802">
        <f t="shared" si="208"/>
        <v>0</v>
      </c>
      <c r="AF305" s="802">
        <f t="shared" si="208"/>
        <v>0</v>
      </c>
      <c r="AG305" s="802">
        <f t="shared" si="208"/>
        <v>0</v>
      </c>
      <c r="AH305" s="802">
        <f t="shared" si="208"/>
        <v>0</v>
      </c>
      <c r="AI305" s="802">
        <f t="shared" si="208"/>
        <v>0</v>
      </c>
      <c r="AJ305" s="802">
        <f t="shared" si="208"/>
        <v>0</v>
      </c>
      <c r="AK305" s="802">
        <f t="shared" si="208"/>
        <v>0</v>
      </c>
      <c r="AL305" s="802">
        <f t="shared" si="208"/>
        <v>0</v>
      </c>
      <c r="AM305" s="802">
        <f t="shared" ref="AM305:BR305" si="209">AM207+AM277</f>
        <v>0</v>
      </c>
      <c r="AN305" s="802">
        <f t="shared" si="209"/>
        <v>0</v>
      </c>
      <c r="AO305" s="802">
        <f t="shared" si="209"/>
        <v>0</v>
      </c>
      <c r="AP305" s="802">
        <f t="shared" si="209"/>
        <v>0</v>
      </c>
      <c r="AQ305" s="802">
        <f t="shared" si="209"/>
        <v>0</v>
      </c>
      <c r="AR305" s="802">
        <f t="shared" si="209"/>
        <v>0</v>
      </c>
      <c r="AS305" s="802">
        <f t="shared" si="209"/>
        <v>0</v>
      </c>
      <c r="AT305" s="802">
        <f t="shared" si="209"/>
        <v>0</v>
      </c>
      <c r="AU305" s="802">
        <f t="shared" si="209"/>
        <v>0</v>
      </c>
      <c r="AV305" s="802">
        <f t="shared" si="209"/>
        <v>0</v>
      </c>
      <c r="AW305" s="802">
        <f t="shared" si="209"/>
        <v>0</v>
      </c>
      <c r="AX305" s="802">
        <f t="shared" si="209"/>
        <v>0</v>
      </c>
      <c r="AY305" s="802">
        <f t="shared" si="209"/>
        <v>0</v>
      </c>
      <c r="AZ305" s="802">
        <f t="shared" si="209"/>
        <v>0</v>
      </c>
      <c r="BA305" s="802">
        <f t="shared" si="209"/>
        <v>0</v>
      </c>
      <c r="BB305" s="802">
        <f t="shared" si="209"/>
        <v>0</v>
      </c>
      <c r="BC305" s="802">
        <f t="shared" si="209"/>
        <v>0</v>
      </c>
      <c r="BD305" s="802">
        <f t="shared" si="209"/>
        <v>0</v>
      </c>
      <c r="BE305" s="802">
        <f t="shared" si="209"/>
        <v>0</v>
      </c>
      <c r="BF305" s="802">
        <f t="shared" si="209"/>
        <v>0</v>
      </c>
      <c r="BG305" s="802">
        <f t="shared" si="209"/>
        <v>0</v>
      </c>
      <c r="BH305" s="802">
        <f t="shared" si="209"/>
        <v>0</v>
      </c>
      <c r="BI305" s="802">
        <f t="shared" si="209"/>
        <v>0</v>
      </c>
      <c r="BJ305" s="802">
        <f t="shared" si="209"/>
        <v>0</v>
      </c>
      <c r="BK305" s="802">
        <f t="shared" si="209"/>
        <v>0</v>
      </c>
      <c r="BL305" s="802">
        <f t="shared" si="209"/>
        <v>0</v>
      </c>
      <c r="BM305" s="802">
        <f t="shared" si="209"/>
        <v>0</v>
      </c>
      <c r="BN305" s="802">
        <f t="shared" si="209"/>
        <v>0</v>
      </c>
      <c r="BO305" s="802">
        <f t="shared" si="209"/>
        <v>0</v>
      </c>
      <c r="BP305" s="802">
        <f t="shared" si="209"/>
        <v>0</v>
      </c>
      <c r="BQ305" s="802">
        <f t="shared" si="209"/>
        <v>0</v>
      </c>
      <c r="BR305" s="802">
        <f t="shared" si="209"/>
        <v>0</v>
      </c>
      <c r="BS305" s="802">
        <f t="shared" ref="BS305:CI305" si="210">BS207+BS277</f>
        <v>0</v>
      </c>
      <c r="BT305" s="802">
        <f t="shared" si="210"/>
        <v>0</v>
      </c>
      <c r="BU305" s="802">
        <f t="shared" si="210"/>
        <v>0</v>
      </c>
      <c r="BV305" s="802">
        <f t="shared" si="210"/>
        <v>0</v>
      </c>
      <c r="BW305" s="802">
        <f t="shared" si="210"/>
        <v>0</v>
      </c>
      <c r="BX305" s="802">
        <f t="shared" si="210"/>
        <v>0</v>
      </c>
      <c r="BY305" s="802">
        <f t="shared" si="210"/>
        <v>0</v>
      </c>
      <c r="BZ305" s="802">
        <f t="shared" si="210"/>
        <v>0</v>
      </c>
      <c r="CA305" s="802">
        <f t="shared" si="210"/>
        <v>0</v>
      </c>
      <c r="CB305" s="802">
        <f t="shared" si="210"/>
        <v>0</v>
      </c>
      <c r="CC305" s="802">
        <f t="shared" si="210"/>
        <v>0</v>
      </c>
      <c r="CD305" s="802">
        <f t="shared" si="210"/>
        <v>0</v>
      </c>
      <c r="CE305" s="802">
        <f t="shared" si="210"/>
        <v>0</v>
      </c>
      <c r="CF305" s="802">
        <f t="shared" si="210"/>
        <v>0</v>
      </c>
      <c r="CG305" s="802">
        <f t="shared" si="210"/>
        <v>0</v>
      </c>
      <c r="CH305" s="802">
        <f t="shared" si="210"/>
        <v>0</v>
      </c>
      <c r="CI305" s="803">
        <f t="shared" si="210"/>
        <v>0</v>
      </c>
      <c r="CJ305" s="1478"/>
      <c r="CK305" s="796"/>
    </row>
    <row r="306" spans="2:89" x14ac:dyDescent="0.35">
      <c r="B306" s="1022" t="s">
        <v>552</v>
      </c>
      <c r="C306" s="989" t="s">
        <v>311</v>
      </c>
      <c r="D306" s="992" t="s">
        <v>553</v>
      </c>
      <c r="E306" s="1023" t="s">
        <v>305</v>
      </c>
      <c r="F306" s="1024">
        <v>2</v>
      </c>
      <c r="G306" s="642">
        <f t="shared" ref="G306:AL306" si="211">G208+G278</f>
        <v>0.06</v>
      </c>
      <c r="H306" s="642">
        <f t="shared" si="211"/>
        <v>0.06</v>
      </c>
      <c r="I306" s="642">
        <f t="shared" si="211"/>
        <v>0.06</v>
      </c>
      <c r="J306" s="642">
        <f t="shared" si="211"/>
        <v>0.06</v>
      </c>
      <c r="K306" s="642">
        <f t="shared" si="211"/>
        <v>0.06</v>
      </c>
      <c r="L306" s="642">
        <f t="shared" si="211"/>
        <v>0.06</v>
      </c>
      <c r="M306" s="802">
        <f t="shared" si="211"/>
        <v>0.06</v>
      </c>
      <c r="N306" s="802">
        <f t="shared" si="211"/>
        <v>0.06</v>
      </c>
      <c r="O306" s="802">
        <f t="shared" si="211"/>
        <v>0.06</v>
      </c>
      <c r="P306" s="802">
        <f t="shared" si="211"/>
        <v>0.06</v>
      </c>
      <c r="Q306" s="802">
        <f t="shared" si="211"/>
        <v>0.06</v>
      </c>
      <c r="R306" s="802">
        <f t="shared" si="211"/>
        <v>0.06</v>
      </c>
      <c r="S306" s="802">
        <f t="shared" si="211"/>
        <v>25.06</v>
      </c>
      <c r="T306" s="802">
        <f t="shared" si="211"/>
        <v>26.06</v>
      </c>
      <c r="U306" s="802">
        <f t="shared" si="211"/>
        <v>26.06</v>
      </c>
      <c r="V306" s="802">
        <f t="shared" si="211"/>
        <v>26.06</v>
      </c>
      <c r="W306" s="802">
        <f t="shared" si="211"/>
        <v>26.06</v>
      </c>
      <c r="X306" s="802">
        <f t="shared" si="211"/>
        <v>44.06</v>
      </c>
      <c r="Y306" s="802">
        <f t="shared" si="211"/>
        <v>44.06</v>
      </c>
      <c r="Z306" s="802">
        <f t="shared" si="211"/>
        <v>44.06</v>
      </c>
      <c r="AA306" s="802">
        <f t="shared" si="211"/>
        <v>44.06</v>
      </c>
      <c r="AB306" s="802">
        <f t="shared" si="211"/>
        <v>44.06</v>
      </c>
      <c r="AC306" s="802">
        <f t="shared" si="211"/>
        <v>44.06</v>
      </c>
      <c r="AD306" s="802">
        <f t="shared" si="211"/>
        <v>44.06</v>
      </c>
      <c r="AE306" s="802">
        <f t="shared" si="211"/>
        <v>44.06</v>
      </c>
      <c r="AF306" s="802">
        <f t="shared" si="211"/>
        <v>44.06</v>
      </c>
      <c r="AG306" s="802">
        <f t="shared" si="211"/>
        <v>44.06</v>
      </c>
      <c r="AH306" s="802">
        <f t="shared" si="211"/>
        <v>44.06</v>
      </c>
      <c r="AI306" s="802">
        <f t="shared" si="211"/>
        <v>44.06</v>
      </c>
      <c r="AJ306" s="802">
        <f t="shared" si="211"/>
        <v>44.06</v>
      </c>
      <c r="AK306" s="802">
        <f t="shared" si="211"/>
        <v>44.06</v>
      </c>
      <c r="AL306" s="802">
        <f t="shared" si="211"/>
        <v>44.06</v>
      </c>
      <c r="AM306" s="802">
        <f t="shared" ref="AM306:BR306" si="212">AM208+AM278</f>
        <v>44.06</v>
      </c>
      <c r="AN306" s="802">
        <f t="shared" si="212"/>
        <v>44.06</v>
      </c>
      <c r="AO306" s="802">
        <f t="shared" si="212"/>
        <v>44.06</v>
      </c>
      <c r="AP306" s="802">
        <f t="shared" si="212"/>
        <v>44.06</v>
      </c>
      <c r="AQ306" s="802">
        <f t="shared" si="212"/>
        <v>44.06</v>
      </c>
      <c r="AR306" s="802">
        <f t="shared" si="212"/>
        <v>44.06</v>
      </c>
      <c r="AS306" s="802">
        <f t="shared" si="212"/>
        <v>44.06</v>
      </c>
      <c r="AT306" s="802">
        <f t="shared" si="212"/>
        <v>44.06</v>
      </c>
      <c r="AU306" s="802">
        <f t="shared" si="212"/>
        <v>44.06</v>
      </c>
      <c r="AV306" s="802">
        <f t="shared" si="212"/>
        <v>44.06</v>
      </c>
      <c r="AW306" s="802">
        <f t="shared" si="212"/>
        <v>44.06</v>
      </c>
      <c r="AX306" s="802">
        <f t="shared" si="212"/>
        <v>44.06</v>
      </c>
      <c r="AY306" s="802">
        <f t="shared" si="212"/>
        <v>44.06</v>
      </c>
      <c r="AZ306" s="802">
        <f t="shared" si="212"/>
        <v>44.06</v>
      </c>
      <c r="BA306" s="802">
        <f t="shared" si="212"/>
        <v>44.06</v>
      </c>
      <c r="BB306" s="802">
        <f t="shared" si="212"/>
        <v>44.06</v>
      </c>
      <c r="BC306" s="802">
        <f t="shared" si="212"/>
        <v>44.06</v>
      </c>
      <c r="BD306" s="802">
        <f t="shared" si="212"/>
        <v>44.06</v>
      </c>
      <c r="BE306" s="802">
        <f t="shared" si="212"/>
        <v>44.06</v>
      </c>
      <c r="BF306" s="802">
        <f t="shared" si="212"/>
        <v>44.06</v>
      </c>
      <c r="BG306" s="802">
        <f t="shared" si="212"/>
        <v>44.06</v>
      </c>
      <c r="BH306" s="802">
        <f t="shared" si="212"/>
        <v>44.06</v>
      </c>
      <c r="BI306" s="802">
        <f t="shared" si="212"/>
        <v>44.06</v>
      </c>
      <c r="BJ306" s="802">
        <f t="shared" si="212"/>
        <v>44.06</v>
      </c>
      <c r="BK306" s="802">
        <f t="shared" si="212"/>
        <v>44.06</v>
      </c>
      <c r="BL306" s="802">
        <f t="shared" si="212"/>
        <v>44.06</v>
      </c>
      <c r="BM306" s="802">
        <f t="shared" si="212"/>
        <v>44.06</v>
      </c>
      <c r="BN306" s="802">
        <f t="shared" si="212"/>
        <v>44.06</v>
      </c>
      <c r="BO306" s="802">
        <f t="shared" si="212"/>
        <v>44.06</v>
      </c>
      <c r="BP306" s="802">
        <f t="shared" si="212"/>
        <v>44.06</v>
      </c>
      <c r="BQ306" s="802">
        <f t="shared" si="212"/>
        <v>44.06</v>
      </c>
      <c r="BR306" s="802">
        <f t="shared" si="212"/>
        <v>44.06</v>
      </c>
      <c r="BS306" s="802">
        <f t="shared" ref="BS306:CI306" si="213">BS208+BS278</f>
        <v>44.06</v>
      </c>
      <c r="BT306" s="802">
        <f t="shared" si="213"/>
        <v>44.06</v>
      </c>
      <c r="BU306" s="802">
        <f t="shared" si="213"/>
        <v>44.06</v>
      </c>
      <c r="BV306" s="802">
        <f t="shared" si="213"/>
        <v>44.06</v>
      </c>
      <c r="BW306" s="802">
        <f t="shared" si="213"/>
        <v>44.06</v>
      </c>
      <c r="BX306" s="802">
        <f t="shared" si="213"/>
        <v>44.06</v>
      </c>
      <c r="BY306" s="802">
        <f t="shared" si="213"/>
        <v>44.06</v>
      </c>
      <c r="BZ306" s="802">
        <f t="shared" si="213"/>
        <v>44.06</v>
      </c>
      <c r="CA306" s="802">
        <f t="shared" si="213"/>
        <v>44.06</v>
      </c>
      <c r="CB306" s="802">
        <f t="shared" si="213"/>
        <v>44.06</v>
      </c>
      <c r="CC306" s="802">
        <f t="shared" si="213"/>
        <v>44.06</v>
      </c>
      <c r="CD306" s="802">
        <f t="shared" si="213"/>
        <v>44.06</v>
      </c>
      <c r="CE306" s="802">
        <f t="shared" si="213"/>
        <v>44.06</v>
      </c>
      <c r="CF306" s="802">
        <f t="shared" si="213"/>
        <v>44.06</v>
      </c>
      <c r="CG306" s="802">
        <f t="shared" si="213"/>
        <v>44.06</v>
      </c>
      <c r="CH306" s="802">
        <f t="shared" si="213"/>
        <v>44.06</v>
      </c>
      <c r="CI306" s="803">
        <f t="shared" si="213"/>
        <v>44.06</v>
      </c>
      <c r="CJ306" s="1478"/>
      <c r="CK306" s="796"/>
    </row>
    <row r="307" spans="2:89" x14ac:dyDescent="0.35">
      <c r="B307" s="1025" t="s">
        <v>554</v>
      </c>
      <c r="C307" s="989" t="s">
        <v>313</v>
      </c>
      <c r="D307" s="992" t="s">
        <v>555</v>
      </c>
      <c r="E307" s="1023" t="s">
        <v>305</v>
      </c>
      <c r="F307" s="1024">
        <v>2</v>
      </c>
      <c r="G307" s="642">
        <f t="shared" ref="G307:AL307" si="214">G209+G279</f>
        <v>0</v>
      </c>
      <c r="H307" s="642">
        <f t="shared" si="214"/>
        <v>0</v>
      </c>
      <c r="I307" s="642">
        <f t="shared" si="214"/>
        <v>0</v>
      </c>
      <c r="J307" s="642">
        <f t="shared" si="214"/>
        <v>0</v>
      </c>
      <c r="K307" s="642">
        <f t="shared" si="214"/>
        <v>0</v>
      </c>
      <c r="L307" s="642">
        <f t="shared" si="214"/>
        <v>0</v>
      </c>
      <c r="M307" s="642">
        <f t="shared" si="214"/>
        <v>0</v>
      </c>
      <c r="N307" s="642">
        <f t="shared" si="214"/>
        <v>0</v>
      </c>
      <c r="O307" s="642">
        <f t="shared" si="214"/>
        <v>0</v>
      </c>
      <c r="P307" s="642">
        <f t="shared" si="214"/>
        <v>0</v>
      </c>
      <c r="Q307" s="642">
        <f t="shared" si="214"/>
        <v>0</v>
      </c>
      <c r="R307" s="642">
        <f t="shared" si="214"/>
        <v>0</v>
      </c>
      <c r="S307" s="642">
        <f t="shared" si="214"/>
        <v>0</v>
      </c>
      <c r="T307" s="642">
        <f t="shared" si="214"/>
        <v>0</v>
      </c>
      <c r="U307" s="642">
        <f t="shared" si="214"/>
        <v>0</v>
      </c>
      <c r="V307" s="642">
        <f t="shared" si="214"/>
        <v>0</v>
      </c>
      <c r="W307" s="642">
        <f t="shared" si="214"/>
        <v>0</v>
      </c>
      <c r="X307" s="642">
        <f t="shared" si="214"/>
        <v>0</v>
      </c>
      <c r="Y307" s="642">
        <f t="shared" si="214"/>
        <v>0</v>
      </c>
      <c r="Z307" s="642">
        <f t="shared" si="214"/>
        <v>0</v>
      </c>
      <c r="AA307" s="642">
        <f t="shared" si="214"/>
        <v>0</v>
      </c>
      <c r="AB307" s="642">
        <f t="shared" si="214"/>
        <v>0</v>
      </c>
      <c r="AC307" s="642">
        <f t="shared" si="214"/>
        <v>0</v>
      </c>
      <c r="AD307" s="642">
        <f t="shared" si="214"/>
        <v>0</v>
      </c>
      <c r="AE307" s="642">
        <f t="shared" si="214"/>
        <v>0</v>
      </c>
      <c r="AF307" s="642">
        <f t="shared" si="214"/>
        <v>0</v>
      </c>
      <c r="AG307" s="642">
        <f t="shared" si="214"/>
        <v>0</v>
      </c>
      <c r="AH307" s="642">
        <f t="shared" si="214"/>
        <v>0</v>
      </c>
      <c r="AI307" s="642">
        <f t="shared" si="214"/>
        <v>0</v>
      </c>
      <c r="AJ307" s="642">
        <f t="shared" si="214"/>
        <v>0</v>
      </c>
      <c r="AK307" s="642">
        <f t="shared" si="214"/>
        <v>0</v>
      </c>
      <c r="AL307" s="642">
        <f t="shared" si="214"/>
        <v>0</v>
      </c>
      <c r="AM307" s="642">
        <f t="shared" ref="AM307:BR307" si="215">AM209+AM279</f>
        <v>0</v>
      </c>
      <c r="AN307" s="642">
        <f t="shared" si="215"/>
        <v>0</v>
      </c>
      <c r="AO307" s="642">
        <f t="shared" si="215"/>
        <v>0</v>
      </c>
      <c r="AP307" s="642">
        <f t="shared" si="215"/>
        <v>0</v>
      </c>
      <c r="AQ307" s="642">
        <f t="shared" si="215"/>
        <v>0</v>
      </c>
      <c r="AR307" s="642">
        <f t="shared" si="215"/>
        <v>0</v>
      </c>
      <c r="AS307" s="642">
        <f t="shared" si="215"/>
        <v>0</v>
      </c>
      <c r="AT307" s="642">
        <f t="shared" si="215"/>
        <v>0</v>
      </c>
      <c r="AU307" s="642">
        <f t="shared" si="215"/>
        <v>0</v>
      </c>
      <c r="AV307" s="642">
        <f t="shared" si="215"/>
        <v>0</v>
      </c>
      <c r="AW307" s="642">
        <f t="shared" si="215"/>
        <v>0</v>
      </c>
      <c r="AX307" s="642">
        <f t="shared" si="215"/>
        <v>0</v>
      </c>
      <c r="AY307" s="642">
        <f t="shared" si="215"/>
        <v>0</v>
      </c>
      <c r="AZ307" s="642">
        <f t="shared" si="215"/>
        <v>0</v>
      </c>
      <c r="BA307" s="642">
        <f t="shared" si="215"/>
        <v>0</v>
      </c>
      <c r="BB307" s="642">
        <f t="shared" si="215"/>
        <v>0</v>
      </c>
      <c r="BC307" s="642">
        <f t="shared" si="215"/>
        <v>0</v>
      </c>
      <c r="BD307" s="642">
        <f t="shared" si="215"/>
        <v>0</v>
      </c>
      <c r="BE307" s="642">
        <f t="shared" si="215"/>
        <v>0</v>
      </c>
      <c r="BF307" s="642">
        <f t="shared" si="215"/>
        <v>0</v>
      </c>
      <c r="BG307" s="642">
        <f t="shared" si="215"/>
        <v>0</v>
      </c>
      <c r="BH307" s="642">
        <f t="shared" si="215"/>
        <v>0</v>
      </c>
      <c r="BI307" s="642">
        <f t="shared" si="215"/>
        <v>0</v>
      </c>
      <c r="BJ307" s="642">
        <f t="shared" si="215"/>
        <v>0</v>
      </c>
      <c r="BK307" s="642">
        <f t="shared" si="215"/>
        <v>0</v>
      </c>
      <c r="BL307" s="642">
        <f t="shared" si="215"/>
        <v>0</v>
      </c>
      <c r="BM307" s="642">
        <f t="shared" si="215"/>
        <v>0</v>
      </c>
      <c r="BN307" s="642">
        <f t="shared" si="215"/>
        <v>0</v>
      </c>
      <c r="BO307" s="642">
        <f t="shared" si="215"/>
        <v>0</v>
      </c>
      <c r="BP307" s="642">
        <f t="shared" si="215"/>
        <v>0</v>
      </c>
      <c r="BQ307" s="642">
        <f t="shared" si="215"/>
        <v>0</v>
      </c>
      <c r="BR307" s="642">
        <f t="shared" si="215"/>
        <v>0</v>
      </c>
      <c r="BS307" s="642">
        <f t="shared" ref="BS307:CI307" si="216">BS209+BS279</f>
        <v>0</v>
      </c>
      <c r="BT307" s="642">
        <f t="shared" si="216"/>
        <v>0</v>
      </c>
      <c r="BU307" s="642">
        <f t="shared" si="216"/>
        <v>0</v>
      </c>
      <c r="BV307" s="642">
        <f t="shared" si="216"/>
        <v>0</v>
      </c>
      <c r="BW307" s="642">
        <f t="shared" si="216"/>
        <v>0</v>
      </c>
      <c r="BX307" s="642">
        <f t="shared" si="216"/>
        <v>0</v>
      </c>
      <c r="BY307" s="642">
        <f t="shared" si="216"/>
        <v>0</v>
      </c>
      <c r="BZ307" s="642">
        <f t="shared" si="216"/>
        <v>0</v>
      </c>
      <c r="CA307" s="642">
        <f t="shared" si="216"/>
        <v>0</v>
      </c>
      <c r="CB307" s="642">
        <f t="shared" si="216"/>
        <v>0</v>
      </c>
      <c r="CC307" s="642">
        <f t="shared" si="216"/>
        <v>0</v>
      </c>
      <c r="CD307" s="642">
        <f t="shared" si="216"/>
        <v>0</v>
      </c>
      <c r="CE307" s="642">
        <f t="shared" si="216"/>
        <v>0</v>
      </c>
      <c r="CF307" s="642">
        <f t="shared" si="216"/>
        <v>0</v>
      </c>
      <c r="CG307" s="642">
        <f t="shared" si="216"/>
        <v>0</v>
      </c>
      <c r="CH307" s="642">
        <f t="shared" si="216"/>
        <v>0</v>
      </c>
      <c r="CI307" s="803">
        <f t="shared" si="216"/>
        <v>0</v>
      </c>
      <c r="CJ307" s="1478"/>
      <c r="CK307" s="796"/>
    </row>
    <row r="308" spans="2:89" x14ac:dyDescent="0.35">
      <c r="B308" s="1025" t="s">
        <v>556</v>
      </c>
      <c r="C308" s="989" t="s">
        <v>315</v>
      </c>
      <c r="D308" s="992" t="s">
        <v>557</v>
      </c>
      <c r="E308" s="1023" t="s">
        <v>305</v>
      </c>
      <c r="F308" s="1024">
        <v>2</v>
      </c>
      <c r="G308" s="642">
        <f t="shared" ref="G308:AL308" si="217">G210+G280</f>
        <v>-0.62</v>
      </c>
      <c r="H308" s="642">
        <f t="shared" si="217"/>
        <v>-0.62</v>
      </c>
      <c r="I308" s="642">
        <f t="shared" si="217"/>
        <v>-0.62</v>
      </c>
      <c r="J308" s="642">
        <f t="shared" si="217"/>
        <v>-0.62</v>
      </c>
      <c r="K308" s="642">
        <f t="shared" si="217"/>
        <v>-0.62</v>
      </c>
      <c r="L308" s="642">
        <f t="shared" si="217"/>
        <v>-0.62</v>
      </c>
      <c r="M308" s="802">
        <f t="shared" si="217"/>
        <v>-0.62</v>
      </c>
      <c r="N308" s="802">
        <f t="shared" si="217"/>
        <v>-0.62</v>
      </c>
      <c r="O308" s="802">
        <f t="shared" si="217"/>
        <v>-0.62</v>
      </c>
      <c r="P308" s="802">
        <f t="shared" si="217"/>
        <v>-0.62</v>
      </c>
      <c r="Q308" s="802">
        <f t="shared" si="217"/>
        <v>-0.62</v>
      </c>
      <c r="R308" s="802">
        <f t="shared" si="217"/>
        <v>-0.62</v>
      </c>
      <c r="S308" s="802">
        <f t="shared" si="217"/>
        <v>-0.62</v>
      </c>
      <c r="T308" s="802">
        <f t="shared" si="217"/>
        <v>-0.62</v>
      </c>
      <c r="U308" s="802">
        <f t="shared" si="217"/>
        <v>-0.62</v>
      </c>
      <c r="V308" s="802">
        <f t="shared" si="217"/>
        <v>-0.62</v>
      </c>
      <c r="W308" s="802">
        <f t="shared" si="217"/>
        <v>-0.62</v>
      </c>
      <c r="X308" s="802">
        <f t="shared" si="217"/>
        <v>-0.62</v>
      </c>
      <c r="Y308" s="802">
        <f t="shared" si="217"/>
        <v>-0.62</v>
      </c>
      <c r="Z308" s="802">
        <f t="shared" si="217"/>
        <v>-0.62</v>
      </c>
      <c r="AA308" s="802">
        <f t="shared" si="217"/>
        <v>-0.62</v>
      </c>
      <c r="AB308" s="802">
        <f t="shared" si="217"/>
        <v>-0.62</v>
      </c>
      <c r="AC308" s="802">
        <f t="shared" si="217"/>
        <v>-0.62</v>
      </c>
      <c r="AD308" s="802">
        <f t="shared" si="217"/>
        <v>-0.62</v>
      </c>
      <c r="AE308" s="802">
        <f t="shared" si="217"/>
        <v>-0.62</v>
      </c>
      <c r="AF308" s="802">
        <f t="shared" si="217"/>
        <v>-0.62</v>
      </c>
      <c r="AG308" s="802">
        <f t="shared" si="217"/>
        <v>-0.62</v>
      </c>
      <c r="AH308" s="802">
        <f t="shared" si="217"/>
        <v>-0.62</v>
      </c>
      <c r="AI308" s="802">
        <f t="shared" si="217"/>
        <v>-0.62</v>
      </c>
      <c r="AJ308" s="802">
        <f t="shared" si="217"/>
        <v>-0.62</v>
      </c>
      <c r="AK308" s="802">
        <f t="shared" si="217"/>
        <v>-0.62</v>
      </c>
      <c r="AL308" s="802">
        <f t="shared" si="217"/>
        <v>-0.62</v>
      </c>
      <c r="AM308" s="802">
        <f t="shared" ref="AM308:BR308" si="218">AM210+AM280</f>
        <v>-0.62</v>
      </c>
      <c r="AN308" s="802">
        <f t="shared" si="218"/>
        <v>-0.62</v>
      </c>
      <c r="AO308" s="802">
        <f t="shared" si="218"/>
        <v>-0.62</v>
      </c>
      <c r="AP308" s="802">
        <f t="shared" si="218"/>
        <v>-0.62</v>
      </c>
      <c r="AQ308" s="802">
        <f t="shared" si="218"/>
        <v>-0.62</v>
      </c>
      <c r="AR308" s="802">
        <f t="shared" si="218"/>
        <v>-0.62</v>
      </c>
      <c r="AS308" s="802">
        <f t="shared" si="218"/>
        <v>-0.62</v>
      </c>
      <c r="AT308" s="802">
        <f t="shared" si="218"/>
        <v>-0.62</v>
      </c>
      <c r="AU308" s="802">
        <f t="shared" si="218"/>
        <v>-0.62</v>
      </c>
      <c r="AV308" s="802">
        <f t="shared" si="218"/>
        <v>-0.62</v>
      </c>
      <c r="AW308" s="802">
        <f t="shared" si="218"/>
        <v>-0.62</v>
      </c>
      <c r="AX308" s="802">
        <f t="shared" si="218"/>
        <v>-0.62</v>
      </c>
      <c r="AY308" s="802">
        <f t="shared" si="218"/>
        <v>-0.62</v>
      </c>
      <c r="AZ308" s="802">
        <f t="shared" si="218"/>
        <v>-0.62</v>
      </c>
      <c r="BA308" s="802">
        <f t="shared" si="218"/>
        <v>-0.62</v>
      </c>
      <c r="BB308" s="802">
        <f t="shared" si="218"/>
        <v>-0.62</v>
      </c>
      <c r="BC308" s="802">
        <f t="shared" si="218"/>
        <v>-0.62</v>
      </c>
      <c r="BD308" s="802">
        <f t="shared" si="218"/>
        <v>-0.62</v>
      </c>
      <c r="BE308" s="802">
        <f t="shared" si="218"/>
        <v>-0.62</v>
      </c>
      <c r="BF308" s="802">
        <f t="shared" si="218"/>
        <v>-0.62</v>
      </c>
      <c r="BG308" s="802">
        <f t="shared" si="218"/>
        <v>-0.62</v>
      </c>
      <c r="BH308" s="802">
        <f t="shared" si="218"/>
        <v>-0.62</v>
      </c>
      <c r="BI308" s="802">
        <f t="shared" si="218"/>
        <v>-0.62</v>
      </c>
      <c r="BJ308" s="802">
        <f t="shared" si="218"/>
        <v>-0.62</v>
      </c>
      <c r="BK308" s="802">
        <f t="shared" si="218"/>
        <v>-0.62</v>
      </c>
      <c r="BL308" s="802">
        <f t="shared" si="218"/>
        <v>-0.62</v>
      </c>
      <c r="BM308" s="802">
        <f t="shared" si="218"/>
        <v>-0.62</v>
      </c>
      <c r="BN308" s="802">
        <f t="shared" si="218"/>
        <v>-0.62</v>
      </c>
      <c r="BO308" s="802">
        <f t="shared" si="218"/>
        <v>-0.62</v>
      </c>
      <c r="BP308" s="802">
        <f t="shared" si="218"/>
        <v>-0.62</v>
      </c>
      <c r="BQ308" s="802">
        <f t="shared" si="218"/>
        <v>-0.62</v>
      </c>
      <c r="BR308" s="802">
        <f t="shared" si="218"/>
        <v>-0.62</v>
      </c>
      <c r="BS308" s="802">
        <f t="shared" ref="BS308:CI308" si="219">BS210+BS280</f>
        <v>-0.62</v>
      </c>
      <c r="BT308" s="802">
        <f t="shared" si="219"/>
        <v>-0.62</v>
      </c>
      <c r="BU308" s="802">
        <f t="shared" si="219"/>
        <v>-0.62</v>
      </c>
      <c r="BV308" s="802">
        <f t="shared" si="219"/>
        <v>-0.62</v>
      </c>
      <c r="BW308" s="802">
        <f t="shared" si="219"/>
        <v>-0.62</v>
      </c>
      <c r="BX308" s="802">
        <f t="shared" si="219"/>
        <v>-0.62</v>
      </c>
      <c r="BY308" s="802">
        <f t="shared" si="219"/>
        <v>-0.62</v>
      </c>
      <c r="BZ308" s="802">
        <f t="shared" si="219"/>
        <v>-0.62</v>
      </c>
      <c r="CA308" s="802">
        <f t="shared" si="219"/>
        <v>-0.62</v>
      </c>
      <c r="CB308" s="802">
        <f t="shared" si="219"/>
        <v>-0.62</v>
      </c>
      <c r="CC308" s="802">
        <f t="shared" si="219"/>
        <v>-0.62</v>
      </c>
      <c r="CD308" s="802">
        <f t="shared" si="219"/>
        <v>-0.62</v>
      </c>
      <c r="CE308" s="802">
        <f t="shared" si="219"/>
        <v>-0.62</v>
      </c>
      <c r="CF308" s="802">
        <f t="shared" si="219"/>
        <v>-0.62</v>
      </c>
      <c r="CG308" s="802">
        <f t="shared" si="219"/>
        <v>-0.62</v>
      </c>
      <c r="CH308" s="802">
        <f t="shared" si="219"/>
        <v>-0.62</v>
      </c>
      <c r="CI308" s="803">
        <f t="shared" si="219"/>
        <v>-0.62</v>
      </c>
      <c r="CJ308" s="1478"/>
      <c r="CK308" s="796"/>
    </row>
    <row r="309" spans="2:89" x14ac:dyDescent="0.35">
      <c r="B309" s="1025" t="s">
        <v>558</v>
      </c>
      <c r="C309" s="986" t="s">
        <v>319</v>
      </c>
      <c r="D309" s="992" t="s">
        <v>559</v>
      </c>
      <c r="E309" s="1023" t="s">
        <v>305</v>
      </c>
      <c r="F309" s="1024">
        <v>2</v>
      </c>
      <c r="G309" s="642">
        <f t="shared" ref="G309:AL309" si="220">G212+G281+G282+G283+G284</f>
        <v>146.1</v>
      </c>
      <c r="H309" s="642">
        <f t="shared" si="220"/>
        <v>146.1</v>
      </c>
      <c r="I309" s="642">
        <f t="shared" si="220"/>
        <v>146.1</v>
      </c>
      <c r="J309" s="642">
        <f t="shared" si="220"/>
        <v>146.1</v>
      </c>
      <c r="K309" s="642">
        <f t="shared" si="220"/>
        <v>146.1</v>
      </c>
      <c r="L309" s="642">
        <f t="shared" si="220"/>
        <v>146.1</v>
      </c>
      <c r="M309" s="642">
        <f t="shared" si="220"/>
        <v>136.7478473381295</v>
      </c>
      <c r="N309" s="642">
        <f t="shared" si="220"/>
        <v>136.59994733812951</v>
      </c>
      <c r="O309" s="642">
        <f t="shared" si="220"/>
        <v>136.0920473381295</v>
      </c>
      <c r="P309" s="642">
        <f t="shared" si="220"/>
        <v>135.94414733812951</v>
      </c>
      <c r="Q309" s="642">
        <f t="shared" si="220"/>
        <v>135.79624733812949</v>
      </c>
      <c r="R309" s="642">
        <f t="shared" si="220"/>
        <v>129.15834733812949</v>
      </c>
      <c r="S309" s="642">
        <f t="shared" si="220"/>
        <v>117.4904473381295</v>
      </c>
      <c r="T309" s="642">
        <f t="shared" si="220"/>
        <v>117.34254733812951</v>
      </c>
      <c r="U309" s="642">
        <f t="shared" si="220"/>
        <v>117.1946473381295</v>
      </c>
      <c r="V309" s="642">
        <f t="shared" si="220"/>
        <v>117.04674733812951</v>
      </c>
      <c r="W309" s="642">
        <f t="shared" si="220"/>
        <v>116.8988473381295</v>
      </c>
      <c r="X309" s="642">
        <f t="shared" si="220"/>
        <v>116.75094733812951</v>
      </c>
      <c r="Y309" s="642">
        <f t="shared" si="220"/>
        <v>116.6030473381295</v>
      </c>
      <c r="Z309" s="642">
        <f t="shared" si="220"/>
        <v>116.45514733812951</v>
      </c>
      <c r="AA309" s="642">
        <f t="shared" si="220"/>
        <v>116.3072473381295</v>
      </c>
      <c r="AB309" s="642">
        <f t="shared" si="220"/>
        <v>91.27</v>
      </c>
      <c r="AC309" s="642">
        <f t="shared" si="220"/>
        <v>91.27</v>
      </c>
      <c r="AD309" s="642">
        <f t="shared" si="220"/>
        <v>91.27</v>
      </c>
      <c r="AE309" s="642">
        <f t="shared" si="220"/>
        <v>91.27</v>
      </c>
      <c r="AF309" s="642">
        <f t="shared" si="220"/>
        <v>91.27</v>
      </c>
      <c r="AG309" s="642">
        <f t="shared" si="220"/>
        <v>91.27</v>
      </c>
      <c r="AH309" s="642">
        <f t="shared" si="220"/>
        <v>91.27</v>
      </c>
      <c r="AI309" s="642">
        <f t="shared" si="220"/>
        <v>91.27</v>
      </c>
      <c r="AJ309" s="642">
        <f t="shared" si="220"/>
        <v>91.27</v>
      </c>
      <c r="AK309" s="642">
        <f t="shared" si="220"/>
        <v>91.27</v>
      </c>
      <c r="AL309" s="642">
        <f t="shared" si="220"/>
        <v>91.27</v>
      </c>
      <c r="AM309" s="642">
        <f t="shared" ref="AM309:BR309" si="221">AM212+AM281+AM282+AM283+AM284</f>
        <v>91.27</v>
      </c>
      <c r="AN309" s="642">
        <f t="shared" si="221"/>
        <v>91.27</v>
      </c>
      <c r="AO309" s="642">
        <f t="shared" si="221"/>
        <v>91.27</v>
      </c>
      <c r="AP309" s="642">
        <f t="shared" si="221"/>
        <v>91.27</v>
      </c>
      <c r="AQ309" s="642">
        <f t="shared" si="221"/>
        <v>91.27</v>
      </c>
      <c r="AR309" s="642">
        <f t="shared" si="221"/>
        <v>91.27</v>
      </c>
      <c r="AS309" s="642">
        <f t="shared" si="221"/>
        <v>91.27</v>
      </c>
      <c r="AT309" s="642">
        <f t="shared" si="221"/>
        <v>91.27</v>
      </c>
      <c r="AU309" s="642">
        <f t="shared" si="221"/>
        <v>91.27</v>
      </c>
      <c r="AV309" s="642">
        <f t="shared" si="221"/>
        <v>91.27</v>
      </c>
      <c r="AW309" s="642">
        <f t="shared" si="221"/>
        <v>91.27</v>
      </c>
      <c r="AX309" s="642">
        <f t="shared" si="221"/>
        <v>91.27</v>
      </c>
      <c r="AY309" s="642">
        <f t="shared" si="221"/>
        <v>91.27</v>
      </c>
      <c r="AZ309" s="642">
        <f t="shared" si="221"/>
        <v>91.27</v>
      </c>
      <c r="BA309" s="642">
        <f t="shared" si="221"/>
        <v>91.27</v>
      </c>
      <c r="BB309" s="642">
        <f t="shared" si="221"/>
        <v>91.27</v>
      </c>
      <c r="BC309" s="642">
        <f t="shared" si="221"/>
        <v>91.27</v>
      </c>
      <c r="BD309" s="642">
        <f t="shared" si="221"/>
        <v>91.27</v>
      </c>
      <c r="BE309" s="642">
        <f t="shared" si="221"/>
        <v>91.27</v>
      </c>
      <c r="BF309" s="642">
        <f t="shared" si="221"/>
        <v>91.27</v>
      </c>
      <c r="BG309" s="642">
        <f t="shared" si="221"/>
        <v>91.27</v>
      </c>
      <c r="BH309" s="642">
        <f t="shared" si="221"/>
        <v>91.27</v>
      </c>
      <c r="BI309" s="642">
        <f t="shared" si="221"/>
        <v>91.27</v>
      </c>
      <c r="BJ309" s="642">
        <f t="shared" si="221"/>
        <v>91.27</v>
      </c>
      <c r="BK309" s="642">
        <f t="shared" si="221"/>
        <v>91.27</v>
      </c>
      <c r="BL309" s="642">
        <f t="shared" si="221"/>
        <v>91.27</v>
      </c>
      <c r="BM309" s="642">
        <f t="shared" si="221"/>
        <v>91.27</v>
      </c>
      <c r="BN309" s="642">
        <f t="shared" si="221"/>
        <v>91.27</v>
      </c>
      <c r="BO309" s="642">
        <f t="shared" si="221"/>
        <v>91.27</v>
      </c>
      <c r="BP309" s="642">
        <f t="shared" si="221"/>
        <v>91.27</v>
      </c>
      <c r="BQ309" s="642">
        <f t="shared" si="221"/>
        <v>91.27</v>
      </c>
      <c r="BR309" s="642">
        <f t="shared" si="221"/>
        <v>91.27</v>
      </c>
      <c r="BS309" s="642">
        <f t="shared" ref="BS309:CI309" si="222">BS212+BS281+BS282+BS283+BS284</f>
        <v>91.27</v>
      </c>
      <c r="BT309" s="642">
        <f t="shared" si="222"/>
        <v>91.27</v>
      </c>
      <c r="BU309" s="642">
        <f t="shared" si="222"/>
        <v>91.27</v>
      </c>
      <c r="BV309" s="642">
        <f t="shared" si="222"/>
        <v>91.27</v>
      </c>
      <c r="BW309" s="642">
        <f t="shared" si="222"/>
        <v>91.27</v>
      </c>
      <c r="BX309" s="642">
        <f t="shared" si="222"/>
        <v>91.27</v>
      </c>
      <c r="BY309" s="642">
        <f t="shared" si="222"/>
        <v>91.27</v>
      </c>
      <c r="BZ309" s="642">
        <f t="shared" si="222"/>
        <v>91.27</v>
      </c>
      <c r="CA309" s="642">
        <f t="shared" si="222"/>
        <v>91.27</v>
      </c>
      <c r="CB309" s="642">
        <f t="shared" si="222"/>
        <v>91.27</v>
      </c>
      <c r="CC309" s="642">
        <f t="shared" si="222"/>
        <v>91.27</v>
      </c>
      <c r="CD309" s="642">
        <f t="shared" si="222"/>
        <v>91.27</v>
      </c>
      <c r="CE309" s="642">
        <f t="shared" si="222"/>
        <v>91.27</v>
      </c>
      <c r="CF309" s="642">
        <f t="shared" si="222"/>
        <v>91.27</v>
      </c>
      <c r="CG309" s="642">
        <f t="shared" si="222"/>
        <v>91.27</v>
      </c>
      <c r="CH309" s="642">
        <f t="shared" si="222"/>
        <v>91.27</v>
      </c>
      <c r="CI309" s="803">
        <f t="shared" si="222"/>
        <v>91.27</v>
      </c>
      <c r="CJ309" s="1478"/>
      <c r="CK309" s="796"/>
    </row>
    <row r="310" spans="2:89" ht="28" x14ac:dyDescent="0.35">
      <c r="B310" s="1025" t="s">
        <v>560</v>
      </c>
      <c r="C310" s="986" t="s">
        <v>561</v>
      </c>
      <c r="D310" s="992" t="s">
        <v>562</v>
      </c>
      <c r="E310" s="1023" t="s">
        <v>305</v>
      </c>
      <c r="F310" s="1024">
        <v>2</v>
      </c>
      <c r="G310" s="642">
        <f t="shared" ref="G310:AL310" si="223">G220+G285+G286</f>
        <v>0.16</v>
      </c>
      <c r="H310" s="642">
        <f t="shared" si="223"/>
        <v>0.16</v>
      </c>
      <c r="I310" s="642">
        <f t="shared" si="223"/>
        <v>0.16</v>
      </c>
      <c r="J310" s="642">
        <f t="shared" si="223"/>
        <v>0.16</v>
      </c>
      <c r="K310" s="642">
        <f t="shared" si="223"/>
        <v>0.16</v>
      </c>
      <c r="L310" s="642">
        <f t="shared" si="223"/>
        <v>0.16</v>
      </c>
      <c r="M310" s="802">
        <f t="shared" si="223"/>
        <v>0.16</v>
      </c>
      <c r="N310" s="802">
        <f t="shared" si="223"/>
        <v>0.16</v>
      </c>
      <c r="O310" s="802">
        <f t="shared" si="223"/>
        <v>0.16</v>
      </c>
      <c r="P310" s="802">
        <f t="shared" si="223"/>
        <v>0.16</v>
      </c>
      <c r="Q310" s="802">
        <f t="shared" si="223"/>
        <v>0.16</v>
      </c>
      <c r="R310" s="802">
        <f t="shared" si="223"/>
        <v>0.16</v>
      </c>
      <c r="S310" s="802">
        <f t="shared" si="223"/>
        <v>0.16</v>
      </c>
      <c r="T310" s="802">
        <f t="shared" si="223"/>
        <v>0.16</v>
      </c>
      <c r="U310" s="802">
        <f t="shared" si="223"/>
        <v>0.16</v>
      </c>
      <c r="V310" s="802">
        <f t="shared" si="223"/>
        <v>0.16</v>
      </c>
      <c r="W310" s="802">
        <f t="shared" si="223"/>
        <v>0.16</v>
      </c>
      <c r="X310" s="802">
        <f t="shared" si="223"/>
        <v>0.16</v>
      </c>
      <c r="Y310" s="802">
        <f t="shared" si="223"/>
        <v>0.16</v>
      </c>
      <c r="Z310" s="802">
        <f t="shared" si="223"/>
        <v>0.16</v>
      </c>
      <c r="AA310" s="802">
        <f t="shared" si="223"/>
        <v>0.16</v>
      </c>
      <c r="AB310" s="802">
        <f t="shared" si="223"/>
        <v>0.16</v>
      </c>
      <c r="AC310" s="802">
        <f t="shared" si="223"/>
        <v>0.16</v>
      </c>
      <c r="AD310" s="802">
        <f t="shared" si="223"/>
        <v>0.16</v>
      </c>
      <c r="AE310" s="802">
        <f t="shared" si="223"/>
        <v>0.16</v>
      </c>
      <c r="AF310" s="802">
        <f t="shared" si="223"/>
        <v>0.16</v>
      </c>
      <c r="AG310" s="802">
        <f t="shared" si="223"/>
        <v>0.16</v>
      </c>
      <c r="AH310" s="802">
        <f t="shared" si="223"/>
        <v>0.16</v>
      </c>
      <c r="AI310" s="802">
        <f t="shared" si="223"/>
        <v>0.16</v>
      </c>
      <c r="AJ310" s="802">
        <f t="shared" si="223"/>
        <v>0.16</v>
      </c>
      <c r="AK310" s="802">
        <f t="shared" si="223"/>
        <v>0.16</v>
      </c>
      <c r="AL310" s="802">
        <f t="shared" si="223"/>
        <v>0.16</v>
      </c>
      <c r="AM310" s="802">
        <f t="shared" ref="AM310:BR310" si="224">AM220+AM285+AM286</f>
        <v>0.16</v>
      </c>
      <c r="AN310" s="802">
        <f t="shared" si="224"/>
        <v>0.16</v>
      </c>
      <c r="AO310" s="802">
        <f t="shared" si="224"/>
        <v>0.16</v>
      </c>
      <c r="AP310" s="802">
        <f t="shared" si="224"/>
        <v>0.16</v>
      </c>
      <c r="AQ310" s="802">
        <f t="shared" si="224"/>
        <v>0.16</v>
      </c>
      <c r="AR310" s="802">
        <f t="shared" si="224"/>
        <v>0.16</v>
      </c>
      <c r="AS310" s="802">
        <f t="shared" si="224"/>
        <v>0.16</v>
      </c>
      <c r="AT310" s="802">
        <f t="shared" si="224"/>
        <v>0.16</v>
      </c>
      <c r="AU310" s="802">
        <f t="shared" si="224"/>
        <v>0.16</v>
      </c>
      <c r="AV310" s="802">
        <f t="shared" si="224"/>
        <v>0.16</v>
      </c>
      <c r="AW310" s="802">
        <f t="shared" si="224"/>
        <v>0.16</v>
      </c>
      <c r="AX310" s="802">
        <f t="shared" si="224"/>
        <v>0.16</v>
      </c>
      <c r="AY310" s="802">
        <f t="shared" si="224"/>
        <v>0.16</v>
      </c>
      <c r="AZ310" s="802">
        <f t="shared" si="224"/>
        <v>0.16</v>
      </c>
      <c r="BA310" s="802">
        <f t="shared" si="224"/>
        <v>0.16</v>
      </c>
      <c r="BB310" s="802">
        <f t="shared" si="224"/>
        <v>0.16</v>
      </c>
      <c r="BC310" s="802">
        <f t="shared" si="224"/>
        <v>0.16</v>
      </c>
      <c r="BD310" s="802">
        <f t="shared" si="224"/>
        <v>0.16</v>
      </c>
      <c r="BE310" s="802">
        <f t="shared" si="224"/>
        <v>0.16</v>
      </c>
      <c r="BF310" s="802">
        <f t="shared" si="224"/>
        <v>0.16</v>
      </c>
      <c r="BG310" s="802">
        <f t="shared" si="224"/>
        <v>0.16</v>
      </c>
      <c r="BH310" s="802">
        <f t="shared" si="224"/>
        <v>0.16</v>
      </c>
      <c r="BI310" s="802">
        <f t="shared" si="224"/>
        <v>0.16</v>
      </c>
      <c r="BJ310" s="802">
        <f t="shared" si="224"/>
        <v>0.16</v>
      </c>
      <c r="BK310" s="802">
        <f t="shared" si="224"/>
        <v>0.16</v>
      </c>
      <c r="BL310" s="802">
        <f t="shared" si="224"/>
        <v>0.16</v>
      </c>
      <c r="BM310" s="802">
        <f t="shared" si="224"/>
        <v>0.16</v>
      </c>
      <c r="BN310" s="802">
        <f t="shared" si="224"/>
        <v>0.16</v>
      </c>
      <c r="BO310" s="802">
        <f t="shared" si="224"/>
        <v>0.16</v>
      </c>
      <c r="BP310" s="802">
        <f t="shared" si="224"/>
        <v>0.16</v>
      </c>
      <c r="BQ310" s="802">
        <f t="shared" si="224"/>
        <v>0.16</v>
      </c>
      <c r="BR310" s="802">
        <f t="shared" si="224"/>
        <v>0.16</v>
      </c>
      <c r="BS310" s="802">
        <f t="shared" ref="BS310:CI310" si="225">BS220+BS285+BS286</f>
        <v>0.16</v>
      </c>
      <c r="BT310" s="802">
        <f t="shared" si="225"/>
        <v>0.16</v>
      </c>
      <c r="BU310" s="802">
        <f t="shared" si="225"/>
        <v>0.16</v>
      </c>
      <c r="BV310" s="802">
        <f t="shared" si="225"/>
        <v>0.16</v>
      </c>
      <c r="BW310" s="802">
        <f t="shared" si="225"/>
        <v>0.16</v>
      </c>
      <c r="BX310" s="802">
        <f t="shared" si="225"/>
        <v>0.16</v>
      </c>
      <c r="BY310" s="802">
        <f t="shared" si="225"/>
        <v>0.16</v>
      </c>
      <c r="BZ310" s="802">
        <f t="shared" si="225"/>
        <v>0.16</v>
      </c>
      <c r="CA310" s="802">
        <f t="shared" si="225"/>
        <v>0.16</v>
      </c>
      <c r="CB310" s="802">
        <f t="shared" si="225"/>
        <v>0.16</v>
      </c>
      <c r="CC310" s="802">
        <f t="shared" si="225"/>
        <v>0.16</v>
      </c>
      <c r="CD310" s="802">
        <f t="shared" si="225"/>
        <v>0.16</v>
      </c>
      <c r="CE310" s="802">
        <f t="shared" si="225"/>
        <v>0.16</v>
      </c>
      <c r="CF310" s="802">
        <f t="shared" si="225"/>
        <v>0.16</v>
      </c>
      <c r="CG310" s="802">
        <f t="shared" si="225"/>
        <v>0.16</v>
      </c>
      <c r="CH310" s="802">
        <f t="shared" si="225"/>
        <v>0.16</v>
      </c>
      <c r="CI310" s="803">
        <f t="shared" si="225"/>
        <v>0.16</v>
      </c>
      <c r="CJ310" s="1478"/>
      <c r="CK310" s="796"/>
    </row>
    <row r="311" spans="2:89" x14ac:dyDescent="0.35">
      <c r="B311" s="1025" t="s">
        <v>563</v>
      </c>
      <c r="C311" s="986" t="s">
        <v>340</v>
      </c>
      <c r="D311" s="992" t="s">
        <v>564</v>
      </c>
      <c r="E311" s="1023" t="s">
        <v>305</v>
      </c>
      <c r="F311" s="1024">
        <v>2</v>
      </c>
      <c r="G311" s="642">
        <f t="shared" ref="G311:AL311" si="226">G221+G287</f>
        <v>0</v>
      </c>
      <c r="H311" s="642">
        <f t="shared" si="226"/>
        <v>0</v>
      </c>
      <c r="I311" s="642">
        <f t="shared" si="226"/>
        <v>0</v>
      </c>
      <c r="J311" s="642">
        <f t="shared" si="226"/>
        <v>0</v>
      </c>
      <c r="K311" s="642">
        <f t="shared" si="226"/>
        <v>0</v>
      </c>
      <c r="L311" s="642">
        <f t="shared" si="226"/>
        <v>0</v>
      </c>
      <c r="M311" s="802">
        <f t="shared" si="226"/>
        <v>3.2</v>
      </c>
      <c r="N311" s="802">
        <f t="shared" si="226"/>
        <v>3.2</v>
      </c>
      <c r="O311" s="802">
        <f t="shared" si="226"/>
        <v>3.2</v>
      </c>
      <c r="P311" s="802">
        <f t="shared" si="226"/>
        <v>3.2</v>
      </c>
      <c r="Q311" s="802">
        <f t="shared" si="226"/>
        <v>3.2</v>
      </c>
      <c r="R311" s="802">
        <f t="shared" si="226"/>
        <v>3.2</v>
      </c>
      <c r="S311" s="802">
        <f t="shared" si="226"/>
        <v>3.2</v>
      </c>
      <c r="T311" s="802">
        <f t="shared" si="226"/>
        <v>3.2</v>
      </c>
      <c r="U311" s="802">
        <f t="shared" si="226"/>
        <v>3.2</v>
      </c>
      <c r="V311" s="802">
        <f t="shared" si="226"/>
        <v>3.2</v>
      </c>
      <c r="W311" s="802">
        <f t="shared" si="226"/>
        <v>3.2</v>
      </c>
      <c r="X311" s="802">
        <f t="shared" si="226"/>
        <v>3.2</v>
      </c>
      <c r="Y311" s="802">
        <f t="shared" si="226"/>
        <v>3.2</v>
      </c>
      <c r="Z311" s="802">
        <f t="shared" si="226"/>
        <v>3.2</v>
      </c>
      <c r="AA311" s="802">
        <f t="shared" si="226"/>
        <v>3.2</v>
      </c>
      <c r="AB311" s="802">
        <f t="shared" si="226"/>
        <v>3.2</v>
      </c>
      <c r="AC311" s="802">
        <f t="shared" si="226"/>
        <v>3.2</v>
      </c>
      <c r="AD311" s="802">
        <f t="shared" si="226"/>
        <v>3.2</v>
      </c>
      <c r="AE311" s="802">
        <f t="shared" si="226"/>
        <v>3.2</v>
      </c>
      <c r="AF311" s="802">
        <f t="shared" si="226"/>
        <v>3.2</v>
      </c>
      <c r="AG311" s="802">
        <f t="shared" si="226"/>
        <v>3.2</v>
      </c>
      <c r="AH311" s="802">
        <f t="shared" si="226"/>
        <v>3.2</v>
      </c>
      <c r="AI311" s="802">
        <f t="shared" si="226"/>
        <v>3.2</v>
      </c>
      <c r="AJ311" s="802">
        <f t="shared" si="226"/>
        <v>3.2</v>
      </c>
      <c r="AK311" s="802">
        <f t="shared" si="226"/>
        <v>3.2</v>
      </c>
      <c r="AL311" s="802">
        <f t="shared" si="226"/>
        <v>3.2</v>
      </c>
      <c r="AM311" s="802">
        <f t="shared" ref="AM311:BR311" si="227">AM221+AM287</f>
        <v>3.2</v>
      </c>
      <c r="AN311" s="802">
        <f t="shared" si="227"/>
        <v>3.2</v>
      </c>
      <c r="AO311" s="802">
        <f t="shared" si="227"/>
        <v>3.2</v>
      </c>
      <c r="AP311" s="802">
        <f t="shared" si="227"/>
        <v>3.2</v>
      </c>
      <c r="AQ311" s="802">
        <f t="shared" si="227"/>
        <v>3.2</v>
      </c>
      <c r="AR311" s="802">
        <f t="shared" si="227"/>
        <v>3.2</v>
      </c>
      <c r="AS311" s="802">
        <f t="shared" si="227"/>
        <v>3.2</v>
      </c>
      <c r="AT311" s="802">
        <f t="shared" si="227"/>
        <v>3.2</v>
      </c>
      <c r="AU311" s="802">
        <f t="shared" si="227"/>
        <v>3.2</v>
      </c>
      <c r="AV311" s="802">
        <f t="shared" si="227"/>
        <v>3.2</v>
      </c>
      <c r="AW311" s="802">
        <f t="shared" si="227"/>
        <v>3.2</v>
      </c>
      <c r="AX311" s="802">
        <f t="shared" si="227"/>
        <v>3.2</v>
      </c>
      <c r="AY311" s="802">
        <f t="shared" si="227"/>
        <v>3.2</v>
      </c>
      <c r="AZ311" s="802">
        <f t="shared" si="227"/>
        <v>3.2</v>
      </c>
      <c r="BA311" s="802">
        <f t="shared" si="227"/>
        <v>3.2</v>
      </c>
      <c r="BB311" s="802">
        <f t="shared" si="227"/>
        <v>3.2</v>
      </c>
      <c r="BC311" s="802">
        <f t="shared" si="227"/>
        <v>3.2</v>
      </c>
      <c r="BD311" s="802">
        <f t="shared" si="227"/>
        <v>3.2</v>
      </c>
      <c r="BE311" s="802">
        <f t="shared" si="227"/>
        <v>3.2</v>
      </c>
      <c r="BF311" s="802">
        <f t="shared" si="227"/>
        <v>3.2</v>
      </c>
      <c r="BG311" s="802">
        <f t="shared" si="227"/>
        <v>3.2</v>
      </c>
      <c r="BH311" s="802">
        <f t="shared" si="227"/>
        <v>3.2</v>
      </c>
      <c r="BI311" s="802">
        <f t="shared" si="227"/>
        <v>3.2</v>
      </c>
      <c r="BJ311" s="802">
        <f t="shared" si="227"/>
        <v>3.2</v>
      </c>
      <c r="BK311" s="802">
        <f t="shared" si="227"/>
        <v>3.2</v>
      </c>
      <c r="BL311" s="802">
        <f t="shared" si="227"/>
        <v>3.2</v>
      </c>
      <c r="BM311" s="802">
        <f t="shared" si="227"/>
        <v>3.2</v>
      </c>
      <c r="BN311" s="802">
        <f t="shared" si="227"/>
        <v>3.2</v>
      </c>
      <c r="BO311" s="802">
        <f t="shared" si="227"/>
        <v>3.2</v>
      </c>
      <c r="BP311" s="802">
        <f t="shared" si="227"/>
        <v>3.2</v>
      </c>
      <c r="BQ311" s="802">
        <f t="shared" si="227"/>
        <v>3.2</v>
      </c>
      <c r="BR311" s="802">
        <f t="shared" si="227"/>
        <v>3.2</v>
      </c>
      <c r="BS311" s="802">
        <f t="shared" ref="BS311:CI311" si="228">BS221+BS287</f>
        <v>3.2</v>
      </c>
      <c r="BT311" s="802">
        <f t="shared" si="228"/>
        <v>3.2</v>
      </c>
      <c r="BU311" s="802">
        <f t="shared" si="228"/>
        <v>3.2</v>
      </c>
      <c r="BV311" s="802">
        <f t="shared" si="228"/>
        <v>3.2</v>
      </c>
      <c r="BW311" s="802">
        <f t="shared" si="228"/>
        <v>3.2</v>
      </c>
      <c r="BX311" s="802">
        <f t="shared" si="228"/>
        <v>3.2</v>
      </c>
      <c r="BY311" s="802">
        <f t="shared" si="228"/>
        <v>3.2</v>
      </c>
      <c r="BZ311" s="802">
        <f t="shared" si="228"/>
        <v>3.2</v>
      </c>
      <c r="CA311" s="802">
        <f t="shared" si="228"/>
        <v>3.2</v>
      </c>
      <c r="CB311" s="802">
        <f t="shared" si="228"/>
        <v>3.2</v>
      </c>
      <c r="CC311" s="802">
        <f t="shared" si="228"/>
        <v>3.2</v>
      </c>
      <c r="CD311" s="802">
        <f t="shared" si="228"/>
        <v>3.2</v>
      </c>
      <c r="CE311" s="802">
        <f t="shared" si="228"/>
        <v>3.2</v>
      </c>
      <c r="CF311" s="802">
        <f t="shared" si="228"/>
        <v>3.2</v>
      </c>
      <c r="CG311" s="802">
        <f t="shared" si="228"/>
        <v>3.2</v>
      </c>
      <c r="CH311" s="802">
        <f t="shared" si="228"/>
        <v>3.2</v>
      </c>
      <c r="CI311" s="803">
        <f t="shared" si="228"/>
        <v>3.2</v>
      </c>
      <c r="CJ311" s="1478"/>
      <c r="CK311" s="796"/>
    </row>
    <row r="312" spans="2:89" x14ac:dyDescent="0.35">
      <c r="B312" s="1026" t="s">
        <v>565</v>
      </c>
      <c r="C312" s="1027" t="s">
        <v>342</v>
      </c>
      <c r="D312" s="1027" t="s">
        <v>566</v>
      </c>
      <c r="E312" s="1028" t="s">
        <v>305</v>
      </c>
      <c r="F312" s="1024">
        <v>2</v>
      </c>
      <c r="G312" s="642">
        <f>(G309)-(G310+G311)</f>
        <v>145.94</v>
      </c>
      <c r="H312" s="642">
        <f t="shared" ref="H312:BS312" si="229">(H309)-(H310+H311)</f>
        <v>145.94</v>
      </c>
      <c r="I312" s="642">
        <f t="shared" si="229"/>
        <v>145.94</v>
      </c>
      <c r="J312" s="642">
        <f t="shared" si="229"/>
        <v>145.94</v>
      </c>
      <c r="K312" s="642">
        <f t="shared" si="229"/>
        <v>145.94</v>
      </c>
      <c r="L312" s="642">
        <f t="shared" si="229"/>
        <v>145.94</v>
      </c>
      <c r="M312" s="642">
        <f t="shared" si="229"/>
        <v>133.38784733812949</v>
      </c>
      <c r="N312" s="642">
        <f t="shared" si="229"/>
        <v>133.2399473381295</v>
      </c>
      <c r="O312" s="642">
        <f t="shared" si="229"/>
        <v>132.73204733812949</v>
      </c>
      <c r="P312" s="642">
        <f t="shared" si="229"/>
        <v>132.5841473381295</v>
      </c>
      <c r="Q312" s="642">
        <f t="shared" si="229"/>
        <v>132.43624733812948</v>
      </c>
      <c r="R312" s="642">
        <f t="shared" si="229"/>
        <v>125.79834733812949</v>
      </c>
      <c r="S312" s="642">
        <f t="shared" si="229"/>
        <v>114.1304473381295</v>
      </c>
      <c r="T312" s="642">
        <f t="shared" si="229"/>
        <v>113.98254733812951</v>
      </c>
      <c r="U312" s="642">
        <f t="shared" si="229"/>
        <v>113.8346473381295</v>
      </c>
      <c r="V312" s="642">
        <f t="shared" si="229"/>
        <v>113.68674733812951</v>
      </c>
      <c r="W312" s="642">
        <f t="shared" si="229"/>
        <v>113.5388473381295</v>
      </c>
      <c r="X312" s="642">
        <f t="shared" si="229"/>
        <v>113.39094733812951</v>
      </c>
      <c r="Y312" s="642">
        <f t="shared" si="229"/>
        <v>113.2430473381295</v>
      </c>
      <c r="Z312" s="642">
        <f t="shared" si="229"/>
        <v>113.09514733812951</v>
      </c>
      <c r="AA312" s="642">
        <f t="shared" si="229"/>
        <v>112.9472473381295</v>
      </c>
      <c r="AB312" s="642">
        <f t="shared" si="229"/>
        <v>87.91</v>
      </c>
      <c r="AC312" s="642">
        <f t="shared" si="229"/>
        <v>87.91</v>
      </c>
      <c r="AD312" s="642">
        <f t="shared" si="229"/>
        <v>87.91</v>
      </c>
      <c r="AE312" s="642">
        <f t="shared" si="229"/>
        <v>87.91</v>
      </c>
      <c r="AF312" s="642">
        <f t="shared" si="229"/>
        <v>87.91</v>
      </c>
      <c r="AG312" s="642">
        <f t="shared" si="229"/>
        <v>87.91</v>
      </c>
      <c r="AH312" s="642">
        <f t="shared" si="229"/>
        <v>87.91</v>
      </c>
      <c r="AI312" s="642">
        <f t="shared" si="229"/>
        <v>87.91</v>
      </c>
      <c r="AJ312" s="642">
        <f t="shared" si="229"/>
        <v>87.91</v>
      </c>
      <c r="AK312" s="642">
        <f t="shared" si="229"/>
        <v>87.91</v>
      </c>
      <c r="AL312" s="642">
        <f t="shared" si="229"/>
        <v>87.91</v>
      </c>
      <c r="AM312" s="642">
        <f t="shared" si="229"/>
        <v>87.91</v>
      </c>
      <c r="AN312" s="642">
        <f t="shared" si="229"/>
        <v>87.91</v>
      </c>
      <c r="AO312" s="642">
        <f t="shared" si="229"/>
        <v>87.91</v>
      </c>
      <c r="AP312" s="642">
        <f t="shared" si="229"/>
        <v>87.91</v>
      </c>
      <c r="AQ312" s="642">
        <f t="shared" si="229"/>
        <v>87.91</v>
      </c>
      <c r="AR312" s="642">
        <f t="shared" si="229"/>
        <v>87.91</v>
      </c>
      <c r="AS312" s="642">
        <f t="shared" si="229"/>
        <v>87.91</v>
      </c>
      <c r="AT312" s="642">
        <f t="shared" si="229"/>
        <v>87.91</v>
      </c>
      <c r="AU312" s="642">
        <f t="shared" si="229"/>
        <v>87.91</v>
      </c>
      <c r="AV312" s="642">
        <f t="shared" si="229"/>
        <v>87.91</v>
      </c>
      <c r="AW312" s="642">
        <f t="shared" si="229"/>
        <v>87.91</v>
      </c>
      <c r="AX312" s="642">
        <f t="shared" si="229"/>
        <v>87.91</v>
      </c>
      <c r="AY312" s="642">
        <f t="shared" si="229"/>
        <v>87.91</v>
      </c>
      <c r="AZ312" s="642">
        <f t="shared" si="229"/>
        <v>87.91</v>
      </c>
      <c r="BA312" s="642">
        <f t="shared" si="229"/>
        <v>87.91</v>
      </c>
      <c r="BB312" s="642">
        <f t="shared" si="229"/>
        <v>87.91</v>
      </c>
      <c r="BC312" s="642">
        <f t="shared" si="229"/>
        <v>87.91</v>
      </c>
      <c r="BD312" s="642">
        <f t="shared" si="229"/>
        <v>87.91</v>
      </c>
      <c r="BE312" s="642">
        <f t="shared" si="229"/>
        <v>87.91</v>
      </c>
      <c r="BF312" s="642">
        <f t="shared" si="229"/>
        <v>87.91</v>
      </c>
      <c r="BG312" s="642">
        <f t="shared" si="229"/>
        <v>87.91</v>
      </c>
      <c r="BH312" s="642">
        <f t="shared" si="229"/>
        <v>87.91</v>
      </c>
      <c r="BI312" s="642">
        <f t="shared" si="229"/>
        <v>87.91</v>
      </c>
      <c r="BJ312" s="642">
        <f t="shared" si="229"/>
        <v>87.91</v>
      </c>
      <c r="BK312" s="642">
        <f t="shared" si="229"/>
        <v>87.91</v>
      </c>
      <c r="BL312" s="642">
        <f t="shared" si="229"/>
        <v>87.91</v>
      </c>
      <c r="BM312" s="642">
        <f t="shared" si="229"/>
        <v>87.91</v>
      </c>
      <c r="BN312" s="642">
        <f t="shared" si="229"/>
        <v>87.91</v>
      </c>
      <c r="BO312" s="642">
        <f t="shared" si="229"/>
        <v>87.91</v>
      </c>
      <c r="BP312" s="642">
        <f t="shared" si="229"/>
        <v>87.91</v>
      </c>
      <c r="BQ312" s="642">
        <f t="shared" si="229"/>
        <v>87.91</v>
      </c>
      <c r="BR312" s="642">
        <f t="shared" si="229"/>
        <v>87.91</v>
      </c>
      <c r="BS312" s="642">
        <f t="shared" si="229"/>
        <v>87.91</v>
      </c>
      <c r="BT312" s="642">
        <f t="shared" ref="BT312:CI312" si="230">(BT309)-(BT310+BT311)</f>
        <v>87.91</v>
      </c>
      <c r="BU312" s="642">
        <f t="shared" si="230"/>
        <v>87.91</v>
      </c>
      <c r="BV312" s="642">
        <f t="shared" si="230"/>
        <v>87.91</v>
      </c>
      <c r="BW312" s="642">
        <f t="shared" si="230"/>
        <v>87.91</v>
      </c>
      <c r="BX312" s="642">
        <f t="shared" si="230"/>
        <v>87.91</v>
      </c>
      <c r="BY312" s="642">
        <f t="shared" si="230"/>
        <v>87.91</v>
      </c>
      <c r="BZ312" s="642">
        <f t="shared" si="230"/>
        <v>87.91</v>
      </c>
      <c r="CA312" s="642">
        <f t="shared" si="230"/>
        <v>87.91</v>
      </c>
      <c r="CB312" s="642">
        <f t="shared" si="230"/>
        <v>87.91</v>
      </c>
      <c r="CC312" s="642">
        <f t="shared" si="230"/>
        <v>87.91</v>
      </c>
      <c r="CD312" s="642">
        <f t="shared" si="230"/>
        <v>87.91</v>
      </c>
      <c r="CE312" s="642">
        <f t="shared" si="230"/>
        <v>87.91</v>
      </c>
      <c r="CF312" s="642">
        <f t="shared" si="230"/>
        <v>87.91</v>
      </c>
      <c r="CG312" s="642">
        <f t="shared" si="230"/>
        <v>87.91</v>
      </c>
      <c r="CH312" s="642">
        <f t="shared" si="230"/>
        <v>87.91</v>
      </c>
      <c r="CI312" s="803">
        <f t="shared" si="230"/>
        <v>87.91</v>
      </c>
      <c r="CJ312" s="1478"/>
      <c r="CK312" s="796"/>
    </row>
    <row r="313" spans="2:89" ht="14.5" thickBot="1" x14ac:dyDescent="0.4">
      <c r="B313" s="1029" t="s">
        <v>567</v>
      </c>
      <c r="C313" s="1030" t="s">
        <v>345</v>
      </c>
      <c r="D313" s="1030" t="s">
        <v>568</v>
      </c>
      <c r="E313" s="1031" t="s">
        <v>305</v>
      </c>
      <c r="F313" s="1032">
        <v>2</v>
      </c>
      <c r="G313" s="813">
        <f t="shared" ref="G313:AL313" si="231">G312+SUM(G305:G308)</f>
        <v>145.38</v>
      </c>
      <c r="H313" s="813">
        <f t="shared" si="231"/>
        <v>145.38</v>
      </c>
      <c r="I313" s="813">
        <f t="shared" si="231"/>
        <v>145.38</v>
      </c>
      <c r="J313" s="813">
        <f t="shared" si="231"/>
        <v>145.38</v>
      </c>
      <c r="K313" s="813">
        <f t="shared" si="231"/>
        <v>145.38</v>
      </c>
      <c r="L313" s="813">
        <f t="shared" si="231"/>
        <v>145.38</v>
      </c>
      <c r="M313" s="813">
        <f t="shared" si="231"/>
        <v>132.82784733812949</v>
      </c>
      <c r="N313" s="813">
        <f t="shared" si="231"/>
        <v>132.67994733812949</v>
      </c>
      <c r="O313" s="813">
        <f t="shared" si="231"/>
        <v>132.17204733812949</v>
      </c>
      <c r="P313" s="813">
        <f t="shared" si="231"/>
        <v>132.0241473381295</v>
      </c>
      <c r="Q313" s="813">
        <f t="shared" si="231"/>
        <v>131.87624733812947</v>
      </c>
      <c r="R313" s="813">
        <f t="shared" si="231"/>
        <v>125.23834733812949</v>
      </c>
      <c r="S313" s="813">
        <f t="shared" si="231"/>
        <v>138.5704473381295</v>
      </c>
      <c r="T313" s="813">
        <f t="shared" si="231"/>
        <v>139.4225473381295</v>
      </c>
      <c r="U313" s="813">
        <f t="shared" si="231"/>
        <v>139.27464733812951</v>
      </c>
      <c r="V313" s="813">
        <f t="shared" si="231"/>
        <v>139.12674733812952</v>
      </c>
      <c r="W313" s="813">
        <f t="shared" si="231"/>
        <v>138.9788473381295</v>
      </c>
      <c r="X313" s="813">
        <f t="shared" si="231"/>
        <v>156.8309473381295</v>
      </c>
      <c r="Y313" s="813">
        <f t="shared" si="231"/>
        <v>156.68304733812951</v>
      </c>
      <c r="Z313" s="813">
        <f t="shared" si="231"/>
        <v>156.53514733812952</v>
      </c>
      <c r="AA313" s="813">
        <f t="shared" si="231"/>
        <v>156.3872473381295</v>
      </c>
      <c r="AB313" s="813">
        <f t="shared" si="231"/>
        <v>131.35</v>
      </c>
      <c r="AC313" s="813">
        <f t="shared" si="231"/>
        <v>131.35</v>
      </c>
      <c r="AD313" s="813">
        <f t="shared" si="231"/>
        <v>131.35</v>
      </c>
      <c r="AE313" s="813">
        <f t="shared" si="231"/>
        <v>131.35</v>
      </c>
      <c r="AF313" s="813">
        <f t="shared" si="231"/>
        <v>131.35</v>
      </c>
      <c r="AG313" s="813">
        <f t="shared" si="231"/>
        <v>131.35</v>
      </c>
      <c r="AH313" s="813">
        <f t="shared" si="231"/>
        <v>131.35</v>
      </c>
      <c r="AI313" s="813">
        <f t="shared" si="231"/>
        <v>131.35</v>
      </c>
      <c r="AJ313" s="813">
        <f t="shared" si="231"/>
        <v>131.35</v>
      </c>
      <c r="AK313" s="813">
        <f t="shared" si="231"/>
        <v>131.35</v>
      </c>
      <c r="AL313" s="813">
        <f t="shared" si="231"/>
        <v>131.35</v>
      </c>
      <c r="AM313" s="813">
        <f t="shared" ref="AM313:BR313" si="232">AM312+SUM(AM305:AM308)</f>
        <v>131.35</v>
      </c>
      <c r="AN313" s="813">
        <f t="shared" si="232"/>
        <v>131.35</v>
      </c>
      <c r="AO313" s="813">
        <f t="shared" si="232"/>
        <v>131.35</v>
      </c>
      <c r="AP313" s="813">
        <f t="shared" si="232"/>
        <v>131.35</v>
      </c>
      <c r="AQ313" s="813">
        <f t="shared" si="232"/>
        <v>131.35</v>
      </c>
      <c r="AR313" s="813">
        <f t="shared" si="232"/>
        <v>131.35</v>
      </c>
      <c r="AS313" s="813">
        <f t="shared" si="232"/>
        <v>131.35</v>
      </c>
      <c r="AT313" s="813">
        <f t="shared" si="232"/>
        <v>131.35</v>
      </c>
      <c r="AU313" s="813">
        <f t="shared" si="232"/>
        <v>131.35</v>
      </c>
      <c r="AV313" s="813">
        <f t="shared" si="232"/>
        <v>131.35</v>
      </c>
      <c r="AW313" s="813">
        <f t="shared" si="232"/>
        <v>131.35</v>
      </c>
      <c r="AX313" s="813">
        <f t="shared" si="232"/>
        <v>131.35</v>
      </c>
      <c r="AY313" s="813">
        <f t="shared" si="232"/>
        <v>131.35</v>
      </c>
      <c r="AZ313" s="813">
        <f t="shared" si="232"/>
        <v>131.35</v>
      </c>
      <c r="BA313" s="813">
        <f t="shared" si="232"/>
        <v>131.35</v>
      </c>
      <c r="BB313" s="813">
        <f t="shared" si="232"/>
        <v>131.35</v>
      </c>
      <c r="BC313" s="813">
        <f t="shared" si="232"/>
        <v>131.35</v>
      </c>
      <c r="BD313" s="813">
        <f t="shared" si="232"/>
        <v>131.35</v>
      </c>
      <c r="BE313" s="813">
        <f t="shared" si="232"/>
        <v>131.35</v>
      </c>
      <c r="BF313" s="813">
        <f t="shared" si="232"/>
        <v>131.35</v>
      </c>
      <c r="BG313" s="813">
        <f t="shared" si="232"/>
        <v>131.35</v>
      </c>
      <c r="BH313" s="813">
        <f t="shared" si="232"/>
        <v>131.35</v>
      </c>
      <c r="BI313" s="813">
        <f t="shared" si="232"/>
        <v>131.35</v>
      </c>
      <c r="BJ313" s="813">
        <f t="shared" si="232"/>
        <v>131.35</v>
      </c>
      <c r="BK313" s="813">
        <f t="shared" si="232"/>
        <v>131.35</v>
      </c>
      <c r="BL313" s="813">
        <f t="shared" si="232"/>
        <v>131.35</v>
      </c>
      <c r="BM313" s="813">
        <f t="shared" si="232"/>
        <v>131.35</v>
      </c>
      <c r="BN313" s="813">
        <f t="shared" si="232"/>
        <v>131.35</v>
      </c>
      <c r="BO313" s="813">
        <f t="shared" si="232"/>
        <v>131.35</v>
      </c>
      <c r="BP313" s="813">
        <f t="shared" si="232"/>
        <v>131.35</v>
      </c>
      <c r="BQ313" s="813">
        <f t="shared" si="232"/>
        <v>131.35</v>
      </c>
      <c r="BR313" s="813">
        <f t="shared" si="232"/>
        <v>131.35</v>
      </c>
      <c r="BS313" s="813">
        <f t="shared" ref="BS313:CI313" si="233">BS312+SUM(BS305:BS308)</f>
        <v>131.35</v>
      </c>
      <c r="BT313" s="813">
        <f t="shared" si="233"/>
        <v>131.35</v>
      </c>
      <c r="BU313" s="813">
        <f t="shared" si="233"/>
        <v>131.35</v>
      </c>
      <c r="BV313" s="813">
        <f t="shared" si="233"/>
        <v>131.35</v>
      </c>
      <c r="BW313" s="813">
        <f t="shared" si="233"/>
        <v>131.35</v>
      </c>
      <c r="BX313" s="813">
        <f t="shared" si="233"/>
        <v>131.35</v>
      </c>
      <c r="BY313" s="813">
        <f t="shared" si="233"/>
        <v>131.35</v>
      </c>
      <c r="BZ313" s="813">
        <f t="shared" si="233"/>
        <v>131.35</v>
      </c>
      <c r="CA313" s="813">
        <f t="shared" si="233"/>
        <v>131.35</v>
      </c>
      <c r="CB313" s="813">
        <f t="shared" si="233"/>
        <v>131.35</v>
      </c>
      <c r="CC313" s="813">
        <f t="shared" si="233"/>
        <v>131.35</v>
      </c>
      <c r="CD313" s="813">
        <f t="shared" si="233"/>
        <v>131.35</v>
      </c>
      <c r="CE313" s="813">
        <f t="shared" si="233"/>
        <v>131.35</v>
      </c>
      <c r="CF313" s="813">
        <f t="shared" si="233"/>
        <v>131.35</v>
      </c>
      <c r="CG313" s="813">
        <f t="shared" si="233"/>
        <v>131.35</v>
      </c>
      <c r="CH313" s="813">
        <f t="shared" si="233"/>
        <v>131.35</v>
      </c>
      <c r="CI313" s="813">
        <f t="shared" si="233"/>
        <v>131.35</v>
      </c>
      <c r="CJ313" s="1478"/>
      <c r="CK313" s="796"/>
    </row>
    <row r="314" spans="2:89" x14ac:dyDescent="0.35">
      <c r="B314" s="1033" t="s">
        <v>569</v>
      </c>
      <c r="C314" s="1034" t="s">
        <v>348</v>
      </c>
      <c r="D314" s="1035" t="s">
        <v>570</v>
      </c>
      <c r="E314" s="1036" t="s">
        <v>305</v>
      </c>
      <c r="F314" s="1037">
        <v>2</v>
      </c>
      <c r="G314" s="819">
        <f t="shared" ref="G314:AL314" si="234">G224+G288</f>
        <v>21.64</v>
      </c>
      <c r="H314" s="819">
        <f t="shared" si="234"/>
        <v>23.063559690000002</v>
      </c>
      <c r="I314" s="819">
        <f t="shared" si="234"/>
        <v>23.70723061</v>
      </c>
      <c r="J314" s="819">
        <f t="shared" si="234"/>
        <v>24.74716566</v>
      </c>
      <c r="K314" s="819">
        <f t="shared" si="234"/>
        <v>26.008108379999999</v>
      </c>
      <c r="L314" s="819">
        <f t="shared" si="234"/>
        <v>26.981185669999999</v>
      </c>
      <c r="M314" s="820">
        <f t="shared" si="234"/>
        <v>27.250952139999999</v>
      </c>
      <c r="N314" s="820">
        <f t="shared" si="234"/>
        <v>27.539201370000001</v>
      </c>
      <c r="O314" s="820">
        <f t="shared" si="234"/>
        <v>27.823065119999999</v>
      </c>
      <c r="P314" s="820">
        <f t="shared" si="234"/>
        <v>28.052994179999999</v>
      </c>
      <c r="Q314" s="820">
        <f t="shared" si="234"/>
        <v>28.237555440000001</v>
      </c>
      <c r="R314" s="820">
        <f t="shared" si="234"/>
        <v>28.55761717</v>
      </c>
      <c r="S314" s="820">
        <f t="shared" si="234"/>
        <v>28.82680221</v>
      </c>
      <c r="T314" s="820">
        <f t="shared" si="234"/>
        <v>29.063029350000001</v>
      </c>
      <c r="U314" s="820">
        <f t="shared" si="234"/>
        <v>29.346928450000004</v>
      </c>
      <c r="V314" s="820">
        <f t="shared" si="234"/>
        <v>29.563209850000003</v>
      </c>
      <c r="W314" s="820">
        <f t="shared" si="234"/>
        <v>30.047829459999999</v>
      </c>
      <c r="X314" s="820">
        <f t="shared" si="234"/>
        <v>30.540517380000001</v>
      </c>
      <c r="Y314" s="820">
        <f t="shared" si="234"/>
        <v>31.009892590000003</v>
      </c>
      <c r="Z314" s="820">
        <f t="shared" si="234"/>
        <v>31.442552450000004</v>
      </c>
      <c r="AA314" s="820">
        <f t="shared" si="234"/>
        <v>31.517216579999999</v>
      </c>
      <c r="AB314" s="820">
        <f t="shared" si="234"/>
        <v>31.591880710000002</v>
      </c>
      <c r="AC314" s="820">
        <f t="shared" si="234"/>
        <v>31.666544840000004</v>
      </c>
      <c r="AD314" s="820">
        <f t="shared" si="234"/>
        <v>31.741208969999999</v>
      </c>
      <c r="AE314" s="820">
        <f t="shared" si="234"/>
        <v>31.815873100000001</v>
      </c>
      <c r="AF314" s="820">
        <f t="shared" si="234"/>
        <v>31.890537230000003</v>
      </c>
      <c r="AG314" s="820">
        <f t="shared" si="234"/>
        <v>31.965201359999998</v>
      </c>
      <c r="AH314" s="820">
        <f t="shared" si="234"/>
        <v>32.039865489999997</v>
      </c>
      <c r="AI314" s="820">
        <f t="shared" si="234"/>
        <v>32.114529619999999</v>
      </c>
      <c r="AJ314" s="820">
        <f t="shared" si="234"/>
        <v>32.189193749999994</v>
      </c>
      <c r="AK314" s="820">
        <f t="shared" si="234"/>
        <v>32.263857879999996</v>
      </c>
      <c r="AL314" s="820">
        <f t="shared" si="234"/>
        <v>32.338522009999998</v>
      </c>
      <c r="AM314" s="820">
        <f t="shared" ref="AM314:BR314" si="235">AM224+AM288</f>
        <v>32.413186140000001</v>
      </c>
      <c r="AN314" s="820">
        <f t="shared" si="235"/>
        <v>32.487850269999996</v>
      </c>
      <c r="AO314" s="820">
        <f t="shared" si="235"/>
        <v>32.562514399999998</v>
      </c>
      <c r="AP314" s="820">
        <f t="shared" si="235"/>
        <v>32.63717853</v>
      </c>
      <c r="AQ314" s="820">
        <f t="shared" si="235"/>
        <v>32.711842659999995</v>
      </c>
      <c r="AR314" s="820">
        <f t="shared" si="235"/>
        <v>32.786506789999997</v>
      </c>
      <c r="AS314" s="820">
        <f t="shared" si="235"/>
        <v>32.861170919999999</v>
      </c>
      <c r="AT314" s="820">
        <f t="shared" si="235"/>
        <v>32.935835049999994</v>
      </c>
      <c r="AU314" s="820">
        <f t="shared" si="235"/>
        <v>33.010499189999997</v>
      </c>
      <c r="AV314" s="820">
        <f t="shared" si="235"/>
        <v>33.085163319999999</v>
      </c>
      <c r="AW314" s="820">
        <f t="shared" si="235"/>
        <v>33.159827449999995</v>
      </c>
      <c r="AX314" s="820">
        <f t="shared" si="235"/>
        <v>33.234491579999997</v>
      </c>
      <c r="AY314" s="820">
        <f t="shared" si="235"/>
        <v>33.309155709999999</v>
      </c>
      <c r="AZ314" s="820">
        <f t="shared" si="235"/>
        <v>33.383819839999994</v>
      </c>
      <c r="BA314" s="820">
        <f t="shared" si="235"/>
        <v>33.458483969999996</v>
      </c>
      <c r="BB314" s="820">
        <f t="shared" si="235"/>
        <v>33.533148099999998</v>
      </c>
      <c r="BC314" s="820">
        <f t="shared" si="235"/>
        <v>33.60781223</v>
      </c>
      <c r="BD314" s="820">
        <f t="shared" si="235"/>
        <v>33.682476359999995</v>
      </c>
      <c r="BE314" s="820">
        <f t="shared" si="235"/>
        <v>33.757140489999998</v>
      </c>
      <c r="BF314" s="820">
        <f t="shared" si="235"/>
        <v>33.83180462</v>
      </c>
      <c r="BG314" s="820">
        <f t="shared" si="235"/>
        <v>33.906468749999995</v>
      </c>
      <c r="BH314" s="820">
        <f t="shared" si="235"/>
        <v>33.981132879999997</v>
      </c>
      <c r="BI314" s="820">
        <f t="shared" si="235"/>
        <v>34.055797009999999</v>
      </c>
      <c r="BJ314" s="820">
        <f t="shared" si="235"/>
        <v>34.130461139999994</v>
      </c>
      <c r="BK314" s="820">
        <f t="shared" si="235"/>
        <v>34.205125269999996</v>
      </c>
      <c r="BL314" s="820">
        <f t="shared" si="235"/>
        <v>34.279789399999999</v>
      </c>
      <c r="BM314" s="820">
        <f t="shared" si="235"/>
        <v>34.354453530000001</v>
      </c>
      <c r="BN314" s="820">
        <f t="shared" si="235"/>
        <v>34.429117659999996</v>
      </c>
      <c r="BO314" s="820">
        <f t="shared" si="235"/>
        <v>34.503781789999998</v>
      </c>
      <c r="BP314" s="820">
        <f t="shared" si="235"/>
        <v>34.57844592</v>
      </c>
      <c r="BQ314" s="820">
        <f t="shared" si="235"/>
        <v>34.653110049999995</v>
      </c>
      <c r="BR314" s="820">
        <f t="shared" si="235"/>
        <v>34.727774179999997</v>
      </c>
      <c r="BS314" s="820">
        <f t="shared" ref="BS314:CI314" si="236">BS224+BS288</f>
        <v>34.802438309999999</v>
      </c>
      <c r="BT314" s="820">
        <f t="shared" si="236"/>
        <v>34.877102439999994</v>
      </c>
      <c r="BU314" s="820">
        <f t="shared" si="236"/>
        <v>34.951766569999997</v>
      </c>
      <c r="BV314" s="820">
        <f t="shared" si="236"/>
        <v>35.026430699999999</v>
      </c>
      <c r="BW314" s="820">
        <f t="shared" si="236"/>
        <v>35.101094830000001</v>
      </c>
      <c r="BX314" s="820">
        <f t="shared" si="236"/>
        <v>35.175758959999996</v>
      </c>
      <c r="BY314" s="820">
        <f t="shared" si="236"/>
        <v>35.250423089999998</v>
      </c>
      <c r="BZ314" s="820">
        <f t="shared" si="236"/>
        <v>35.32508722</v>
      </c>
      <c r="CA314" s="820">
        <f t="shared" si="236"/>
        <v>35.399751349999995</v>
      </c>
      <c r="CB314" s="820">
        <f t="shared" si="236"/>
        <v>35.474415479999998</v>
      </c>
      <c r="CC314" s="820">
        <f t="shared" si="236"/>
        <v>35.54907961</v>
      </c>
      <c r="CD314" s="820">
        <f t="shared" si="236"/>
        <v>35.623743739999995</v>
      </c>
      <c r="CE314" s="820">
        <f t="shared" si="236"/>
        <v>35.698407869999997</v>
      </c>
      <c r="CF314" s="820">
        <f t="shared" si="236"/>
        <v>35.773071999999999</v>
      </c>
      <c r="CG314" s="820">
        <f t="shared" si="236"/>
        <v>35.847736129999994</v>
      </c>
      <c r="CH314" s="820">
        <f t="shared" si="236"/>
        <v>35.847736129999994</v>
      </c>
      <c r="CI314" s="821">
        <f t="shared" si="236"/>
        <v>35.847736129999994</v>
      </c>
      <c r="CJ314" s="1478"/>
      <c r="CK314" s="796"/>
    </row>
    <row r="315" spans="2:89" x14ac:dyDescent="0.35">
      <c r="B315" s="1038" t="s">
        <v>571</v>
      </c>
      <c r="C315" s="1039" t="s">
        <v>572</v>
      </c>
      <c r="D315" s="1040" t="s">
        <v>82</v>
      </c>
      <c r="E315" s="1041" t="s">
        <v>305</v>
      </c>
      <c r="F315" s="1042">
        <v>2</v>
      </c>
      <c r="G315" s="611"/>
      <c r="H315" s="611"/>
      <c r="I315" s="611"/>
      <c r="J315" s="611"/>
      <c r="K315" s="611"/>
      <c r="L315" s="611"/>
      <c r="M315" s="612"/>
      <c r="N315" s="612"/>
      <c r="O315" s="612"/>
      <c r="P315" s="612"/>
      <c r="Q315" s="612"/>
      <c r="R315" s="612"/>
      <c r="S315" s="612"/>
      <c r="T315" s="612"/>
      <c r="U315" s="612"/>
      <c r="V315" s="612"/>
      <c r="W315" s="612"/>
      <c r="X315" s="612"/>
      <c r="Y315" s="612"/>
      <c r="Z315" s="612"/>
      <c r="AA315" s="612"/>
      <c r="AB315" s="612"/>
      <c r="AC315" s="612"/>
      <c r="AD315" s="612"/>
      <c r="AE315" s="612"/>
      <c r="AF315" s="612"/>
      <c r="AG315" s="612"/>
      <c r="AH315" s="612"/>
      <c r="AI315" s="612"/>
      <c r="AJ315" s="612"/>
      <c r="AK315" s="612"/>
      <c r="AL315" s="612"/>
      <c r="AM315" s="612"/>
      <c r="AN315" s="612"/>
      <c r="AO315" s="612"/>
      <c r="AP315" s="612"/>
      <c r="AQ315" s="612"/>
      <c r="AR315" s="612"/>
      <c r="AS315" s="612"/>
      <c r="AT315" s="612"/>
      <c r="AU315" s="612"/>
      <c r="AV315" s="612"/>
      <c r="AW315" s="612"/>
      <c r="AX315" s="612"/>
      <c r="AY315" s="612"/>
      <c r="AZ315" s="612"/>
      <c r="BA315" s="612"/>
      <c r="BB315" s="612"/>
      <c r="BC315" s="612"/>
      <c r="BD315" s="612"/>
      <c r="BE315" s="612"/>
      <c r="BF315" s="612"/>
      <c r="BG315" s="612"/>
      <c r="BH315" s="612"/>
      <c r="BI315" s="612"/>
      <c r="BJ315" s="612"/>
      <c r="BK315" s="612"/>
      <c r="BL315" s="612"/>
      <c r="BM315" s="612"/>
      <c r="BN315" s="612"/>
      <c r="BO315" s="612"/>
      <c r="BP315" s="612"/>
      <c r="BQ315" s="612"/>
      <c r="BR315" s="612"/>
      <c r="BS315" s="612"/>
      <c r="BT315" s="612"/>
      <c r="BU315" s="612"/>
      <c r="BV315" s="612"/>
      <c r="BW315" s="612"/>
      <c r="BX315" s="612"/>
      <c r="BY315" s="612"/>
      <c r="BZ315" s="612"/>
      <c r="CA315" s="612"/>
      <c r="CB315" s="612"/>
      <c r="CC315" s="612"/>
      <c r="CD315" s="612"/>
      <c r="CE315" s="612"/>
      <c r="CF315" s="612"/>
      <c r="CG315" s="612"/>
      <c r="CH315" s="612"/>
      <c r="CI315" s="613"/>
      <c r="CJ315" s="1478"/>
      <c r="CK315" s="796"/>
    </row>
    <row r="316" spans="2:89" x14ac:dyDescent="0.35">
      <c r="B316" s="1038" t="s">
        <v>573</v>
      </c>
      <c r="C316" s="1039" t="s">
        <v>352</v>
      </c>
      <c r="D316" s="1040" t="s">
        <v>574</v>
      </c>
      <c r="E316" s="1041" t="s">
        <v>305</v>
      </c>
      <c r="F316" s="1042">
        <v>2</v>
      </c>
      <c r="G316" s="642">
        <f t="shared" ref="G316:AL316" si="237">G226+G289</f>
        <v>1.01</v>
      </c>
      <c r="H316" s="642">
        <f t="shared" si="237"/>
        <v>1.01</v>
      </c>
      <c r="I316" s="642">
        <f t="shared" si="237"/>
        <v>1.01</v>
      </c>
      <c r="J316" s="642">
        <f t="shared" si="237"/>
        <v>1.01</v>
      </c>
      <c r="K316" s="642">
        <f t="shared" si="237"/>
        <v>1.01</v>
      </c>
      <c r="L316" s="642">
        <f t="shared" si="237"/>
        <v>1.01</v>
      </c>
      <c r="M316" s="802">
        <f t="shared" si="237"/>
        <v>0.91900000000000004</v>
      </c>
      <c r="N316" s="802">
        <f t="shared" si="237"/>
        <v>0.82800000000000007</v>
      </c>
      <c r="O316" s="802">
        <f t="shared" si="237"/>
        <v>0.73699999999999999</v>
      </c>
      <c r="P316" s="802">
        <f t="shared" si="237"/>
        <v>0.64600000000000002</v>
      </c>
      <c r="Q316" s="802">
        <f t="shared" si="237"/>
        <v>0.55500000000000005</v>
      </c>
      <c r="R316" s="802">
        <f t="shared" si="237"/>
        <v>0.46399999999999997</v>
      </c>
      <c r="S316" s="802">
        <f t="shared" si="237"/>
        <v>0.373</v>
      </c>
      <c r="T316" s="802">
        <f t="shared" si="237"/>
        <v>0.28200000000000003</v>
      </c>
      <c r="U316" s="802">
        <f t="shared" si="237"/>
        <v>0.19100000000000006</v>
      </c>
      <c r="V316" s="802">
        <f t="shared" si="237"/>
        <v>0.10000000000000009</v>
      </c>
      <c r="W316" s="802">
        <f t="shared" si="237"/>
        <v>0.10000000000000009</v>
      </c>
      <c r="X316" s="802">
        <f t="shared" si="237"/>
        <v>0.10000000000000009</v>
      </c>
      <c r="Y316" s="802">
        <f t="shared" si="237"/>
        <v>0.10000000000000009</v>
      </c>
      <c r="Z316" s="802">
        <f t="shared" si="237"/>
        <v>0.10000000000000009</v>
      </c>
      <c r="AA316" s="802">
        <f t="shared" si="237"/>
        <v>0.10229540400000015</v>
      </c>
      <c r="AB316" s="802">
        <f t="shared" si="237"/>
        <v>0.10459080900000006</v>
      </c>
      <c r="AC316" s="802">
        <f t="shared" si="237"/>
        <v>0.10688621300000012</v>
      </c>
      <c r="AD316" s="802">
        <f t="shared" si="237"/>
        <v>0.10918161800000004</v>
      </c>
      <c r="AE316" s="802">
        <f t="shared" si="237"/>
        <v>0.11147702200000009</v>
      </c>
      <c r="AF316" s="802">
        <f t="shared" si="237"/>
        <v>0.11377242700000001</v>
      </c>
      <c r="AG316" s="802">
        <f t="shared" si="237"/>
        <v>0.11606783100000007</v>
      </c>
      <c r="AH316" s="802">
        <f t="shared" si="237"/>
        <v>0.11836323599999998</v>
      </c>
      <c r="AI316" s="802">
        <f t="shared" si="237"/>
        <v>0.12065864000000004</v>
      </c>
      <c r="AJ316" s="802">
        <f t="shared" si="237"/>
        <v>0.12295404500000018</v>
      </c>
      <c r="AK316" s="802">
        <f t="shared" si="237"/>
        <v>0.12524944900000001</v>
      </c>
      <c r="AL316" s="802">
        <f t="shared" si="237"/>
        <v>0.12754485400000015</v>
      </c>
      <c r="AM316" s="802">
        <f t="shared" ref="AM316:BR316" si="238">AM226+AM289</f>
        <v>0.12984025799999999</v>
      </c>
      <c r="AN316" s="802">
        <f t="shared" si="238"/>
        <v>0.13213566300000013</v>
      </c>
      <c r="AO316" s="802">
        <f t="shared" si="238"/>
        <v>0.13443106700000018</v>
      </c>
      <c r="AP316" s="802">
        <f t="shared" si="238"/>
        <v>0.13672647100000002</v>
      </c>
      <c r="AQ316" s="802">
        <f t="shared" si="238"/>
        <v>0.13902187600000016</v>
      </c>
      <c r="AR316" s="802">
        <f t="shared" si="238"/>
        <v>0.14131727999999999</v>
      </c>
      <c r="AS316" s="802">
        <f t="shared" si="238"/>
        <v>0.14361268500000013</v>
      </c>
      <c r="AT316" s="802">
        <f t="shared" si="238"/>
        <v>0.14590808900000019</v>
      </c>
      <c r="AU316" s="802">
        <f t="shared" si="238"/>
        <v>0.1482034940000001</v>
      </c>
      <c r="AV316" s="802">
        <f t="shared" si="238"/>
        <v>0.15049889800000016</v>
      </c>
      <c r="AW316" s="802">
        <f t="shared" si="238"/>
        <v>0.15279430300000008</v>
      </c>
      <c r="AX316" s="802">
        <f t="shared" si="238"/>
        <v>0.15508970700000013</v>
      </c>
      <c r="AY316" s="802">
        <f t="shared" si="238"/>
        <v>0.15738511200000005</v>
      </c>
      <c r="AZ316" s="802">
        <f t="shared" si="238"/>
        <v>0.15968051600000011</v>
      </c>
      <c r="BA316" s="802">
        <f t="shared" si="238"/>
        <v>0.16197592100000002</v>
      </c>
      <c r="BB316" s="802">
        <f t="shared" si="238"/>
        <v>0.16427132500000008</v>
      </c>
      <c r="BC316" s="802">
        <f t="shared" si="238"/>
        <v>0.16656672900000014</v>
      </c>
      <c r="BD316" s="802">
        <f t="shared" si="238"/>
        <v>0.16886213400000005</v>
      </c>
      <c r="BE316" s="802">
        <f t="shared" si="238"/>
        <v>0.17115753800000011</v>
      </c>
      <c r="BF316" s="802">
        <f t="shared" si="238"/>
        <v>0.17345294300000003</v>
      </c>
      <c r="BG316" s="802">
        <f t="shared" si="238"/>
        <v>0.17574834700000008</v>
      </c>
      <c r="BH316" s="802">
        <f t="shared" si="238"/>
        <v>0.178043752</v>
      </c>
      <c r="BI316" s="802">
        <f t="shared" si="238"/>
        <v>0.18033915600000006</v>
      </c>
      <c r="BJ316" s="802">
        <f t="shared" si="238"/>
        <v>0.18263456099999997</v>
      </c>
      <c r="BK316" s="802">
        <f t="shared" si="238"/>
        <v>0.18492996500000003</v>
      </c>
      <c r="BL316" s="802">
        <f t="shared" si="238"/>
        <v>0.18722537000000017</v>
      </c>
      <c r="BM316" s="802">
        <f t="shared" si="238"/>
        <v>0.189520774</v>
      </c>
      <c r="BN316" s="802">
        <f t="shared" si="238"/>
        <v>0.19181617900000014</v>
      </c>
      <c r="BO316" s="802">
        <f t="shared" si="238"/>
        <v>0.19411158299999998</v>
      </c>
      <c r="BP316" s="802">
        <f t="shared" si="238"/>
        <v>0.19640698800000012</v>
      </c>
      <c r="BQ316" s="802">
        <f t="shared" si="238"/>
        <v>0.19870239200000017</v>
      </c>
      <c r="BR316" s="802">
        <f t="shared" si="238"/>
        <v>0.20099779600000001</v>
      </c>
      <c r="BS316" s="802">
        <f t="shared" ref="BS316:CI316" si="239">BS226+BS289</f>
        <v>0.20329320100000015</v>
      </c>
      <c r="BT316" s="802">
        <f t="shared" si="239"/>
        <v>0.20558860499999998</v>
      </c>
      <c r="BU316" s="802">
        <f t="shared" si="239"/>
        <v>0.20788401000000012</v>
      </c>
      <c r="BV316" s="802">
        <f t="shared" si="239"/>
        <v>0.21017941400000018</v>
      </c>
      <c r="BW316" s="802">
        <f t="shared" si="239"/>
        <v>0.21247481900000009</v>
      </c>
      <c r="BX316" s="802">
        <f t="shared" si="239"/>
        <v>0.21477022300000015</v>
      </c>
      <c r="BY316" s="802">
        <f t="shared" si="239"/>
        <v>0.21706562800000007</v>
      </c>
      <c r="BZ316" s="802">
        <f t="shared" si="239"/>
        <v>0.21936103200000012</v>
      </c>
      <c r="CA316" s="802">
        <f t="shared" si="239"/>
        <v>0.22165643700000004</v>
      </c>
      <c r="CB316" s="802">
        <f t="shared" si="239"/>
        <v>0.2239518410000001</v>
      </c>
      <c r="CC316" s="802">
        <f t="shared" si="239"/>
        <v>0.22624724600000001</v>
      </c>
      <c r="CD316" s="802">
        <f t="shared" si="239"/>
        <v>0.22854265000000007</v>
      </c>
      <c r="CE316" s="802">
        <f t="shared" si="239"/>
        <v>0.23083805499999999</v>
      </c>
      <c r="CF316" s="802">
        <f t="shared" si="239"/>
        <v>0.23313345900000004</v>
      </c>
      <c r="CG316" s="802">
        <f t="shared" si="239"/>
        <v>0.2354288630000001</v>
      </c>
      <c r="CH316" s="802">
        <f t="shared" si="239"/>
        <v>0.2354288630000001</v>
      </c>
      <c r="CI316" s="803">
        <f t="shared" si="239"/>
        <v>0.2354288630000001</v>
      </c>
      <c r="CJ316" s="1478"/>
      <c r="CK316" s="796"/>
    </row>
    <row r="317" spans="2:89" x14ac:dyDescent="0.35">
      <c r="B317" s="1038" t="s">
        <v>575</v>
      </c>
      <c r="C317" s="1039" t="s">
        <v>354</v>
      </c>
      <c r="D317" s="1040" t="s">
        <v>576</v>
      </c>
      <c r="E317" s="1041" t="s">
        <v>305</v>
      </c>
      <c r="F317" s="1042">
        <v>2</v>
      </c>
      <c r="G317" s="642">
        <f t="shared" ref="G317:AL317" si="240">G227+G290</f>
        <v>35.619999999999997</v>
      </c>
      <c r="H317" s="642">
        <f t="shared" si="240"/>
        <v>36.71</v>
      </c>
      <c r="I317" s="642">
        <f t="shared" si="240"/>
        <v>43.335135340000001</v>
      </c>
      <c r="J317" s="642">
        <f t="shared" si="240"/>
        <v>43.574823109999997</v>
      </c>
      <c r="K317" s="642">
        <f t="shared" si="240"/>
        <v>43.48315925</v>
      </c>
      <c r="L317" s="642">
        <f t="shared" si="240"/>
        <v>43.301026379999996</v>
      </c>
      <c r="M317" s="802">
        <f t="shared" si="240"/>
        <v>45.179405678181816</v>
      </c>
      <c r="N317" s="802">
        <f t="shared" si="240"/>
        <v>46.764055776363641</v>
      </c>
      <c r="O317" s="802">
        <f t="shared" si="240"/>
        <v>48.522499464545454</v>
      </c>
      <c r="P317" s="802">
        <f t="shared" si="240"/>
        <v>50.255483532727283</v>
      </c>
      <c r="Q317" s="802">
        <f t="shared" si="240"/>
        <v>51.744800197977419</v>
      </c>
      <c r="R317" s="802">
        <f t="shared" si="240"/>
        <v>53.135531247208604</v>
      </c>
      <c r="S317" s="802">
        <f t="shared" si="240"/>
        <v>54.368587836695859</v>
      </c>
      <c r="T317" s="802">
        <f t="shared" si="240"/>
        <v>55.472031729567576</v>
      </c>
      <c r="U317" s="802">
        <f t="shared" si="240"/>
        <v>56.580743074084538</v>
      </c>
      <c r="V317" s="802">
        <f t="shared" si="240"/>
        <v>57.699665438519716</v>
      </c>
      <c r="W317" s="802">
        <f t="shared" si="240"/>
        <v>58.853565358253064</v>
      </c>
      <c r="X317" s="802">
        <f t="shared" si="240"/>
        <v>58.834161164462202</v>
      </c>
      <c r="Y317" s="802">
        <f t="shared" si="240"/>
        <v>58.777597969039249</v>
      </c>
      <c r="Z317" s="802">
        <f t="shared" si="240"/>
        <v>58.73362867166724</v>
      </c>
      <c r="AA317" s="802">
        <f t="shared" si="240"/>
        <v>58.660388932295412</v>
      </c>
      <c r="AB317" s="802">
        <f t="shared" si="240"/>
        <v>58.587585630323389</v>
      </c>
      <c r="AC317" s="802">
        <f t="shared" si="240"/>
        <v>58.499476750779174</v>
      </c>
      <c r="AD317" s="802">
        <f t="shared" si="240"/>
        <v>58.395105765866745</v>
      </c>
      <c r="AE317" s="802">
        <f t="shared" si="240"/>
        <v>58.278860457314828</v>
      </c>
      <c r="AF317" s="802">
        <f t="shared" si="240"/>
        <v>58.14125243394075</v>
      </c>
      <c r="AG317" s="802">
        <f t="shared" si="240"/>
        <v>58.237296193718159</v>
      </c>
      <c r="AH317" s="802">
        <f t="shared" si="240"/>
        <v>58.314015847545605</v>
      </c>
      <c r="AI317" s="802">
        <f t="shared" si="240"/>
        <v>58.380001954138663</v>
      </c>
      <c r="AJ317" s="802">
        <f t="shared" si="240"/>
        <v>58.431122669170271</v>
      </c>
      <c r="AK317" s="802">
        <f t="shared" si="240"/>
        <v>58.462659121878083</v>
      </c>
      <c r="AL317" s="802">
        <f t="shared" si="240"/>
        <v>58.433176911891699</v>
      </c>
      <c r="AM317" s="802">
        <f t="shared" ref="AM317:BR317" si="241">AM227+AM290</f>
        <v>58.398749189814723</v>
      </c>
      <c r="AN317" s="802">
        <f t="shared" si="241"/>
        <v>58.362786446069535</v>
      </c>
      <c r="AO317" s="802">
        <f t="shared" si="241"/>
        <v>58.43250587029317</v>
      </c>
      <c r="AP317" s="802">
        <f t="shared" si="241"/>
        <v>58.503219395475462</v>
      </c>
      <c r="AQ317" s="802">
        <f t="shared" si="241"/>
        <v>58.573839040527048</v>
      </c>
      <c r="AR317" s="802">
        <f t="shared" si="241"/>
        <v>58.64353936273347</v>
      </c>
      <c r="AS317" s="802">
        <f t="shared" si="241"/>
        <v>58.705641144680939</v>
      </c>
      <c r="AT317" s="802">
        <f t="shared" si="241"/>
        <v>58.761757759355362</v>
      </c>
      <c r="AU317" s="802">
        <f t="shared" si="241"/>
        <v>58.817479415923096</v>
      </c>
      <c r="AV317" s="802">
        <f t="shared" si="241"/>
        <v>58.869886546579501</v>
      </c>
      <c r="AW317" s="802">
        <f t="shared" si="241"/>
        <v>58.920264339411787</v>
      </c>
      <c r="AX317" s="802">
        <f t="shared" si="241"/>
        <v>58.970620518313964</v>
      </c>
      <c r="AY317" s="802">
        <f t="shared" si="241"/>
        <v>59.020749547874232</v>
      </c>
      <c r="AZ317" s="802">
        <f t="shared" si="241"/>
        <v>59.072638735132337</v>
      </c>
      <c r="BA317" s="802">
        <f t="shared" si="241"/>
        <v>59.126593457781752</v>
      </c>
      <c r="BB317" s="802">
        <f t="shared" si="241"/>
        <v>59.18206424459666</v>
      </c>
      <c r="BC317" s="802">
        <f t="shared" si="241"/>
        <v>59.237132051954511</v>
      </c>
      <c r="BD317" s="802">
        <f t="shared" si="241"/>
        <v>59.294592095857865</v>
      </c>
      <c r="BE317" s="802">
        <f t="shared" si="241"/>
        <v>59.353608140282482</v>
      </c>
      <c r="BF317" s="802">
        <f t="shared" si="241"/>
        <v>59.414632230277427</v>
      </c>
      <c r="BG317" s="802">
        <f t="shared" si="241"/>
        <v>59.479858776592437</v>
      </c>
      <c r="BH317" s="802">
        <f t="shared" si="241"/>
        <v>59.548808656205892</v>
      </c>
      <c r="BI317" s="802">
        <f t="shared" si="241"/>
        <v>59.621680430225076</v>
      </c>
      <c r="BJ317" s="802">
        <f t="shared" si="241"/>
        <v>59.696816824986691</v>
      </c>
      <c r="BK317" s="802">
        <f t="shared" si="241"/>
        <v>59.774960449688727</v>
      </c>
      <c r="BL317" s="802">
        <f t="shared" si="241"/>
        <v>59.855700243903215</v>
      </c>
      <c r="BM317" s="802">
        <f t="shared" si="241"/>
        <v>59.940169761195868</v>
      </c>
      <c r="BN317" s="802">
        <f t="shared" si="241"/>
        <v>60.029949739754215</v>
      </c>
      <c r="BO317" s="802">
        <f t="shared" si="241"/>
        <v>60.124221174026921</v>
      </c>
      <c r="BP317" s="802">
        <f t="shared" si="241"/>
        <v>60.224655108072277</v>
      </c>
      <c r="BQ317" s="802">
        <f t="shared" si="241"/>
        <v>60.330166996487037</v>
      </c>
      <c r="BR317" s="802">
        <f t="shared" si="241"/>
        <v>60.440725477659377</v>
      </c>
      <c r="BS317" s="802">
        <f t="shared" ref="BS317:CI317" si="242">BS227+BS290</f>
        <v>60.553499869040223</v>
      </c>
      <c r="BT317" s="802">
        <f t="shared" si="242"/>
        <v>60.669436010730102</v>
      </c>
      <c r="BU317" s="802">
        <f t="shared" si="242"/>
        <v>60.788180239794933</v>
      </c>
      <c r="BV317" s="802">
        <f t="shared" si="242"/>
        <v>60.910458919991939</v>
      </c>
      <c r="BW317" s="802">
        <f t="shared" si="242"/>
        <v>61.033335645110625</v>
      </c>
      <c r="BX317" s="802">
        <f t="shared" si="242"/>
        <v>61.15812747329695</v>
      </c>
      <c r="BY317" s="802">
        <f t="shared" si="242"/>
        <v>61.284679144406496</v>
      </c>
      <c r="BZ317" s="802">
        <f t="shared" si="242"/>
        <v>61.413616762085397</v>
      </c>
      <c r="CA317" s="802">
        <f t="shared" si="242"/>
        <v>61.543317843571842</v>
      </c>
      <c r="CB317" s="802">
        <f t="shared" si="242"/>
        <v>61.673988240954209</v>
      </c>
      <c r="CC317" s="802">
        <f t="shared" si="242"/>
        <v>61.803363403547948</v>
      </c>
      <c r="CD317" s="802">
        <f t="shared" si="242"/>
        <v>61.933239455509181</v>
      </c>
      <c r="CE317" s="802">
        <f t="shared" si="242"/>
        <v>62.061999726930004</v>
      </c>
      <c r="CF317" s="802">
        <f t="shared" si="242"/>
        <v>62.189543402217296</v>
      </c>
      <c r="CG317" s="802">
        <f t="shared" si="242"/>
        <v>62.314708200895119</v>
      </c>
      <c r="CH317" s="802">
        <f t="shared" si="242"/>
        <v>62.438118466980988</v>
      </c>
      <c r="CI317" s="803">
        <f t="shared" si="242"/>
        <v>62.559023274000019</v>
      </c>
      <c r="CJ317" s="1478"/>
      <c r="CK317" s="796"/>
    </row>
    <row r="318" spans="2:89" x14ac:dyDescent="0.35">
      <c r="B318" s="1038" t="s">
        <v>577</v>
      </c>
      <c r="C318" s="1039" t="s">
        <v>356</v>
      </c>
      <c r="D318" s="1040" t="s">
        <v>578</v>
      </c>
      <c r="E318" s="1041" t="s">
        <v>305</v>
      </c>
      <c r="F318" s="1042">
        <v>2</v>
      </c>
      <c r="G318" s="642">
        <f t="shared" ref="G318:AL318" si="243">G228+G291</f>
        <v>22.6</v>
      </c>
      <c r="H318" s="642">
        <f t="shared" si="243"/>
        <v>22.16</v>
      </c>
      <c r="I318" s="642">
        <f t="shared" si="243"/>
        <v>22.231296999999998</v>
      </c>
      <c r="J318" s="642">
        <f t="shared" si="243"/>
        <v>21.017300630000001</v>
      </c>
      <c r="K318" s="642">
        <f t="shared" si="243"/>
        <v>19.817311119999999</v>
      </c>
      <c r="L318" s="642">
        <f t="shared" si="243"/>
        <v>18.671758010000001</v>
      </c>
      <c r="M318" s="802">
        <f t="shared" si="243"/>
        <v>17.479394511818178</v>
      </c>
      <c r="N318" s="802">
        <f t="shared" si="243"/>
        <v>16.286779543636364</v>
      </c>
      <c r="O318" s="802">
        <f t="shared" si="243"/>
        <v>15.095598075454538</v>
      </c>
      <c r="P318" s="802">
        <f t="shared" si="243"/>
        <v>13.90545651727272</v>
      </c>
      <c r="Q318" s="802">
        <f t="shared" si="243"/>
        <v>12.7157002990909</v>
      </c>
      <c r="R318" s="802">
        <f t="shared" si="243"/>
        <v>11.530332920909078</v>
      </c>
      <c r="S318" s="802">
        <f t="shared" si="243"/>
        <v>10.34473124272726</v>
      </c>
      <c r="T318" s="802">
        <f t="shared" si="243"/>
        <v>9.1595572045454396</v>
      </c>
      <c r="U318" s="802">
        <f t="shared" si="243"/>
        <v>7.9756230363636202</v>
      </c>
      <c r="V318" s="802">
        <f t="shared" si="243"/>
        <v>6.7930771481818013</v>
      </c>
      <c r="W318" s="802">
        <f t="shared" si="243"/>
        <v>5.6119411399999777</v>
      </c>
      <c r="X318" s="802">
        <f t="shared" si="243"/>
        <v>5.5564730699999796</v>
      </c>
      <c r="Y318" s="802">
        <f t="shared" si="243"/>
        <v>5.5026450299999787</v>
      </c>
      <c r="Z318" s="802">
        <f t="shared" si="243"/>
        <v>5.4507852099999781</v>
      </c>
      <c r="AA318" s="802">
        <f t="shared" si="243"/>
        <v>5.3997684899999783</v>
      </c>
      <c r="AB318" s="802">
        <f t="shared" si="243"/>
        <v>5.3501445769999787</v>
      </c>
      <c r="AC318" s="802">
        <f t="shared" si="243"/>
        <v>5.3020359979999778</v>
      </c>
      <c r="AD318" s="802">
        <f t="shared" si="243"/>
        <v>5.2553456499999793</v>
      </c>
      <c r="AE318" s="802">
        <f t="shared" si="243"/>
        <v>5.21008476499998</v>
      </c>
      <c r="AF318" s="802">
        <f t="shared" si="243"/>
        <v>5.1660264949999792</v>
      </c>
      <c r="AG318" s="802">
        <f t="shared" si="243"/>
        <v>5.1229961419999785</v>
      </c>
      <c r="AH318" s="802">
        <f t="shared" si="243"/>
        <v>5.0810925789999786</v>
      </c>
      <c r="AI318" s="802">
        <f t="shared" si="243"/>
        <v>5.0404035189999785</v>
      </c>
      <c r="AJ318" s="802">
        <f t="shared" si="243"/>
        <v>5.0008208179999798</v>
      </c>
      <c r="AK318" s="802">
        <f t="shared" si="243"/>
        <v>4.9622223629999791</v>
      </c>
      <c r="AL318" s="802">
        <f t="shared" si="243"/>
        <v>4.9269026799999782</v>
      </c>
      <c r="AM318" s="802">
        <f t="shared" ref="AM318:BR318" si="244">AM228+AM291</f>
        <v>4.8925213719999778</v>
      </c>
      <c r="AN318" s="802">
        <f t="shared" si="244"/>
        <v>4.858983030999978</v>
      </c>
      <c r="AO318" s="802">
        <f t="shared" si="244"/>
        <v>4.8262598949999784</v>
      </c>
      <c r="AP318" s="802">
        <f t="shared" si="244"/>
        <v>4.7942932339999782</v>
      </c>
      <c r="AQ318" s="802">
        <f t="shared" si="244"/>
        <v>4.7630089959999795</v>
      </c>
      <c r="AR318" s="802">
        <f t="shared" si="244"/>
        <v>4.7325259789999787</v>
      </c>
      <c r="AS318" s="802">
        <f t="shared" si="244"/>
        <v>4.7028949679999794</v>
      </c>
      <c r="AT318" s="802">
        <f t="shared" si="244"/>
        <v>4.6740331649999796</v>
      </c>
      <c r="AU318" s="802">
        <f t="shared" si="244"/>
        <v>4.6458528809999802</v>
      </c>
      <c r="AV318" s="802">
        <f t="shared" si="244"/>
        <v>4.6183555809999799</v>
      </c>
      <c r="AW318" s="802">
        <f t="shared" si="244"/>
        <v>4.5915505499999805</v>
      </c>
      <c r="AX318" s="802">
        <f t="shared" si="244"/>
        <v>4.56539395699998</v>
      </c>
      <c r="AY318" s="802">
        <f t="shared" si="244"/>
        <v>4.5398347609999794</v>
      </c>
      <c r="AZ318" s="802">
        <f t="shared" si="244"/>
        <v>4.5148653239999792</v>
      </c>
      <c r="BA318" s="802">
        <f t="shared" si="244"/>
        <v>4.4904806189999791</v>
      </c>
      <c r="BB318" s="802">
        <f t="shared" si="244"/>
        <v>4.466721822999979</v>
      </c>
      <c r="BC318" s="802">
        <f t="shared" si="244"/>
        <v>4.4435756479999791</v>
      </c>
      <c r="BD318" s="802">
        <f t="shared" si="244"/>
        <v>4.420999184999979</v>
      </c>
      <c r="BE318" s="802">
        <f t="shared" si="244"/>
        <v>4.3989759659999788</v>
      </c>
      <c r="BF318" s="802">
        <f t="shared" si="244"/>
        <v>4.377490208999979</v>
      </c>
      <c r="BG318" s="802">
        <f t="shared" si="244"/>
        <v>4.3565415219999792</v>
      </c>
      <c r="BH318" s="802">
        <f t="shared" si="244"/>
        <v>4.3361045759999799</v>
      </c>
      <c r="BI318" s="802">
        <f t="shared" si="244"/>
        <v>4.3161844259999791</v>
      </c>
      <c r="BJ318" s="802">
        <f t="shared" si="244"/>
        <v>4.2967790109999786</v>
      </c>
      <c r="BK318" s="802">
        <f t="shared" si="244"/>
        <v>4.2778479559999791</v>
      </c>
      <c r="BL318" s="802">
        <f t="shared" si="244"/>
        <v>4.259413621999979</v>
      </c>
      <c r="BM318" s="802">
        <f t="shared" si="244"/>
        <v>4.2414490889999792</v>
      </c>
      <c r="BN318" s="802">
        <f t="shared" si="244"/>
        <v>4.223913577999979</v>
      </c>
      <c r="BO318" s="802">
        <f t="shared" si="244"/>
        <v>4.2068060289999787</v>
      </c>
      <c r="BP318" s="802">
        <f t="shared" si="244"/>
        <v>4.1900819129999789</v>
      </c>
      <c r="BQ318" s="802">
        <f t="shared" si="244"/>
        <v>4.1737476619999789</v>
      </c>
      <c r="BR318" s="802">
        <f t="shared" si="244"/>
        <v>4.1577965969999786</v>
      </c>
      <c r="BS318" s="802">
        <f t="shared" ref="BS318:CI318" si="245">BS228+BS291</f>
        <v>4.1422371659999788</v>
      </c>
      <c r="BT318" s="802">
        <f t="shared" si="245"/>
        <v>4.1270496909999785</v>
      </c>
      <c r="BU318" s="802">
        <f t="shared" si="245"/>
        <v>4.1122155539999792</v>
      </c>
      <c r="BV318" s="802">
        <f t="shared" si="245"/>
        <v>4.0977295219999785</v>
      </c>
      <c r="BW318" s="802">
        <f t="shared" si="245"/>
        <v>4.0835917029999793</v>
      </c>
      <c r="BX318" s="802">
        <f t="shared" si="245"/>
        <v>4.0697830209999788</v>
      </c>
      <c r="BY318" s="802">
        <f t="shared" si="245"/>
        <v>4.0562906419999791</v>
      </c>
      <c r="BZ318" s="802">
        <f t="shared" si="245"/>
        <v>4.0430931979999789</v>
      </c>
      <c r="CA318" s="802">
        <f t="shared" si="245"/>
        <v>4.0302064639999786</v>
      </c>
      <c r="CB318" s="802">
        <f t="shared" si="245"/>
        <v>4.0176242709999785</v>
      </c>
      <c r="CC318" s="802">
        <f t="shared" si="245"/>
        <v>4.0053596899999793</v>
      </c>
      <c r="CD318" s="802">
        <f t="shared" si="245"/>
        <v>3.9933813489999794</v>
      </c>
      <c r="CE318" s="802">
        <f t="shared" si="245"/>
        <v>3.9816840819999788</v>
      </c>
      <c r="CF318" s="802">
        <f t="shared" si="245"/>
        <v>3.9702675439999782</v>
      </c>
      <c r="CG318" s="802">
        <f t="shared" si="245"/>
        <v>3.9591438429999783</v>
      </c>
      <c r="CH318" s="802">
        <f t="shared" si="245"/>
        <v>3.9482996059999786</v>
      </c>
      <c r="CI318" s="803">
        <f t="shared" si="245"/>
        <v>3.9377216689999797</v>
      </c>
      <c r="CJ318" s="1478"/>
      <c r="CK318" s="796"/>
    </row>
    <row r="319" spans="2:89" ht="28" x14ac:dyDescent="0.35">
      <c r="B319" s="1038" t="s">
        <v>579</v>
      </c>
      <c r="C319" s="1039" t="s">
        <v>358</v>
      </c>
      <c r="D319" s="1040" t="s">
        <v>357</v>
      </c>
      <c r="E319" s="1041" t="s">
        <v>359</v>
      </c>
      <c r="F319" s="1042">
        <v>1</v>
      </c>
      <c r="G319" s="827">
        <f t="shared" ref="G319:AL319" si="246">G229</f>
        <v>0</v>
      </c>
      <c r="H319" s="827">
        <f t="shared" si="246"/>
        <v>1E-3</v>
      </c>
      <c r="I319" s="827">
        <f t="shared" si="246"/>
        <v>1E-3</v>
      </c>
      <c r="J319" s="827">
        <f t="shared" si="246"/>
        <v>2E-3</v>
      </c>
      <c r="K319" s="827">
        <f t="shared" si="246"/>
        <v>3.0000000000000001E-3</v>
      </c>
      <c r="L319" s="827">
        <f t="shared" si="246"/>
        <v>4.0000000000000001E-3</v>
      </c>
      <c r="M319" s="828">
        <f t="shared" si="246"/>
        <v>4.0000000000000001E-3</v>
      </c>
      <c r="N319" s="828">
        <f t="shared" si="246"/>
        <v>5.0000000000000001E-3</v>
      </c>
      <c r="O319" s="828">
        <f t="shared" si="246"/>
        <v>6.0000000000000001E-3</v>
      </c>
      <c r="P319" s="828">
        <f t="shared" si="246"/>
        <v>6.0000000000000001E-3</v>
      </c>
      <c r="Q319" s="828">
        <f t="shared" si="246"/>
        <v>7.0000000000000001E-3</v>
      </c>
      <c r="R319" s="828">
        <f t="shared" si="246"/>
        <v>8.0000000000000002E-3</v>
      </c>
      <c r="S319" s="828">
        <f t="shared" si="246"/>
        <v>8.9999999999999993E-3</v>
      </c>
      <c r="T319" s="828">
        <f t="shared" si="246"/>
        <v>8.9999999999999993E-3</v>
      </c>
      <c r="U319" s="828">
        <f t="shared" si="246"/>
        <v>0.01</v>
      </c>
      <c r="V319" s="828">
        <f t="shared" si="246"/>
        <v>0.01</v>
      </c>
      <c r="W319" s="828">
        <f t="shared" si="246"/>
        <v>1.0999999999999999E-2</v>
      </c>
      <c r="X319" s="828">
        <f t="shared" si="246"/>
        <v>1.2E-2</v>
      </c>
      <c r="Y319" s="828">
        <f t="shared" si="246"/>
        <v>1.2999999999999999E-2</v>
      </c>
      <c r="Z319" s="828">
        <f t="shared" si="246"/>
        <v>1.4E-2</v>
      </c>
      <c r="AA319" s="828">
        <f t="shared" si="246"/>
        <v>1.4E-2</v>
      </c>
      <c r="AB319" s="828">
        <f t="shared" si="246"/>
        <v>1.4999999999999999E-2</v>
      </c>
      <c r="AC319" s="828">
        <f t="shared" si="246"/>
        <v>1.6E-2</v>
      </c>
      <c r="AD319" s="828">
        <f t="shared" si="246"/>
        <v>1.6E-2</v>
      </c>
      <c r="AE319" s="828">
        <f t="shared" si="246"/>
        <v>1.7000000000000001E-2</v>
      </c>
      <c r="AF319" s="828">
        <f t="shared" si="246"/>
        <v>1.7999999999999999E-2</v>
      </c>
      <c r="AG319" s="828">
        <f t="shared" si="246"/>
        <v>1.7999999999999999E-2</v>
      </c>
      <c r="AH319" s="828">
        <f t="shared" si="246"/>
        <v>1.9E-2</v>
      </c>
      <c r="AI319" s="828">
        <f t="shared" si="246"/>
        <v>0.02</v>
      </c>
      <c r="AJ319" s="828">
        <f t="shared" si="246"/>
        <v>0.02</v>
      </c>
      <c r="AK319" s="828">
        <f t="shared" si="246"/>
        <v>2.1000000000000001E-2</v>
      </c>
      <c r="AL319" s="828">
        <f t="shared" si="246"/>
        <v>2.1999999999999999E-2</v>
      </c>
      <c r="AM319" s="828">
        <f t="shared" ref="AM319:BR319" si="247">AM229</f>
        <v>2.3E-2</v>
      </c>
      <c r="AN319" s="828">
        <f t="shared" si="247"/>
        <v>2.3E-2</v>
      </c>
      <c r="AO319" s="828">
        <f t="shared" si="247"/>
        <v>2.4E-2</v>
      </c>
      <c r="AP319" s="828">
        <f t="shared" si="247"/>
        <v>2.5000000000000001E-2</v>
      </c>
      <c r="AQ319" s="828">
        <f t="shared" si="247"/>
        <v>2.5000000000000001E-2</v>
      </c>
      <c r="AR319" s="828">
        <f t="shared" si="247"/>
        <v>2.5999999999999999E-2</v>
      </c>
      <c r="AS319" s="828">
        <f t="shared" si="247"/>
        <v>2.7E-2</v>
      </c>
      <c r="AT319" s="828">
        <f t="shared" si="247"/>
        <v>2.7E-2</v>
      </c>
      <c r="AU319" s="828">
        <f t="shared" si="247"/>
        <v>2.8000000000000001E-2</v>
      </c>
      <c r="AV319" s="828">
        <f t="shared" si="247"/>
        <v>2.9000000000000001E-2</v>
      </c>
      <c r="AW319" s="828">
        <f t="shared" si="247"/>
        <v>2.9000000000000001E-2</v>
      </c>
      <c r="AX319" s="828">
        <f t="shared" si="247"/>
        <v>0.03</v>
      </c>
      <c r="AY319" s="828">
        <f t="shared" si="247"/>
        <v>3.1E-2</v>
      </c>
      <c r="AZ319" s="828">
        <f t="shared" si="247"/>
        <v>3.1E-2</v>
      </c>
      <c r="BA319" s="828">
        <f t="shared" si="247"/>
        <v>3.2000000000000001E-2</v>
      </c>
      <c r="BB319" s="828">
        <f t="shared" si="247"/>
        <v>3.3000000000000002E-2</v>
      </c>
      <c r="BC319" s="828">
        <f t="shared" si="247"/>
        <v>3.3000000000000002E-2</v>
      </c>
      <c r="BD319" s="828">
        <f t="shared" si="247"/>
        <v>3.4000000000000002E-2</v>
      </c>
      <c r="BE319" s="828">
        <f t="shared" si="247"/>
        <v>3.5000000000000003E-2</v>
      </c>
      <c r="BF319" s="828">
        <f t="shared" si="247"/>
        <v>3.5000000000000003E-2</v>
      </c>
      <c r="BG319" s="828">
        <f t="shared" si="247"/>
        <v>3.5999999999999997E-2</v>
      </c>
      <c r="BH319" s="828">
        <f t="shared" si="247"/>
        <v>3.6999999999999998E-2</v>
      </c>
      <c r="BI319" s="828">
        <f t="shared" si="247"/>
        <v>3.6999999999999998E-2</v>
      </c>
      <c r="BJ319" s="828">
        <f t="shared" si="247"/>
        <v>3.7999999999999999E-2</v>
      </c>
      <c r="BK319" s="828">
        <f t="shared" si="247"/>
        <v>3.9E-2</v>
      </c>
      <c r="BL319" s="828">
        <f t="shared" si="247"/>
        <v>3.9E-2</v>
      </c>
      <c r="BM319" s="828">
        <f t="shared" si="247"/>
        <v>0.04</v>
      </c>
      <c r="BN319" s="828">
        <f t="shared" si="247"/>
        <v>4.1000000000000002E-2</v>
      </c>
      <c r="BO319" s="828">
        <f t="shared" si="247"/>
        <v>4.1000000000000002E-2</v>
      </c>
      <c r="BP319" s="828">
        <f t="shared" si="247"/>
        <v>4.2000000000000003E-2</v>
      </c>
      <c r="BQ319" s="828">
        <f t="shared" si="247"/>
        <v>4.2999999999999997E-2</v>
      </c>
      <c r="BR319" s="828">
        <f t="shared" si="247"/>
        <v>4.2999999999999997E-2</v>
      </c>
      <c r="BS319" s="828">
        <f t="shared" ref="BS319:CI319" si="248">BS229</f>
        <v>4.3999999999999997E-2</v>
      </c>
      <c r="BT319" s="828">
        <f t="shared" si="248"/>
        <v>4.4999999999999998E-2</v>
      </c>
      <c r="BU319" s="828">
        <f t="shared" si="248"/>
        <v>4.4999999999999998E-2</v>
      </c>
      <c r="BV319" s="828">
        <f t="shared" si="248"/>
        <v>4.5999999999999999E-2</v>
      </c>
      <c r="BW319" s="828">
        <f t="shared" si="248"/>
        <v>4.7E-2</v>
      </c>
      <c r="BX319" s="828">
        <f t="shared" si="248"/>
        <v>4.7E-2</v>
      </c>
      <c r="BY319" s="828">
        <f t="shared" si="248"/>
        <v>4.8000000000000001E-2</v>
      </c>
      <c r="BZ319" s="828">
        <f t="shared" si="248"/>
        <v>4.9000000000000002E-2</v>
      </c>
      <c r="CA319" s="828">
        <f t="shared" si="248"/>
        <v>4.9000000000000002E-2</v>
      </c>
      <c r="CB319" s="828">
        <f t="shared" si="248"/>
        <v>0.05</v>
      </c>
      <c r="CC319" s="828">
        <f t="shared" si="248"/>
        <v>5.0999999999999997E-2</v>
      </c>
      <c r="CD319" s="828">
        <f t="shared" si="248"/>
        <v>5.0999999999999997E-2</v>
      </c>
      <c r="CE319" s="828">
        <f t="shared" si="248"/>
        <v>5.1999999999999998E-2</v>
      </c>
      <c r="CF319" s="828">
        <f t="shared" si="248"/>
        <v>5.2999999999999999E-2</v>
      </c>
      <c r="CG319" s="828">
        <f t="shared" si="248"/>
        <v>5.2999999999999999E-2</v>
      </c>
      <c r="CH319" s="828">
        <f t="shared" si="248"/>
        <v>5.3999999999999999E-2</v>
      </c>
      <c r="CI319" s="829">
        <f t="shared" si="248"/>
        <v>5.5E-2</v>
      </c>
      <c r="CJ319" s="1478"/>
      <c r="CK319" s="796"/>
    </row>
    <row r="320" spans="2:89" ht="28" x14ac:dyDescent="0.35">
      <c r="B320" s="1038" t="s">
        <v>580</v>
      </c>
      <c r="C320" s="1039" t="s">
        <v>361</v>
      </c>
      <c r="D320" s="1040" t="s">
        <v>581</v>
      </c>
      <c r="E320" s="1041" t="s">
        <v>305</v>
      </c>
      <c r="F320" s="1042">
        <v>2</v>
      </c>
      <c r="G320" s="642">
        <f>G319*(G314+SUM(G316:G318)-SUM(G326:G329))</f>
        <v>0</v>
      </c>
      <c r="H320" s="642">
        <f t="shared" ref="H320" si="249">H319*(SUM(H314:H318)-SUM(H326:H329))</f>
        <v>7.8943559689999998E-2</v>
      </c>
      <c r="I320" s="642">
        <f t="shared" ref="I320" si="250">I319*(SUM(I314:I318)-SUM(I326:I329))</f>
        <v>8.6193662949999986E-2</v>
      </c>
      <c r="J320" s="642">
        <f t="shared" ref="J320:BU320" si="251">J319*(SUM(J314:J318)-SUM(J326:J329))</f>
        <v>0.17251857880000002</v>
      </c>
      <c r="K320" s="642">
        <f t="shared" si="251"/>
        <v>0.25868573625000002</v>
      </c>
      <c r="L320" s="642">
        <f t="shared" si="251"/>
        <v>0.34349588024</v>
      </c>
      <c r="M320" s="642">
        <f t="shared" si="251"/>
        <v>0.34712300931999995</v>
      </c>
      <c r="N320" s="642">
        <f t="shared" si="251"/>
        <v>0.43706018345000003</v>
      </c>
      <c r="O320" s="642">
        <f t="shared" si="251"/>
        <v>0.5292849759599999</v>
      </c>
      <c r="P320" s="642">
        <f t="shared" si="251"/>
        <v>0.53362760538000009</v>
      </c>
      <c r="Q320" s="642">
        <f t="shared" si="251"/>
        <v>0.6256113915594782</v>
      </c>
      <c r="R320" s="642">
        <f t="shared" si="251"/>
        <v>0.71879585070494145</v>
      </c>
      <c r="S320" s="642">
        <f t="shared" si="251"/>
        <v>0.81105409160480801</v>
      </c>
      <c r="T320" s="642">
        <f t="shared" si="251"/>
        <v>0.81200356455701705</v>
      </c>
      <c r="U320" s="642">
        <f t="shared" si="251"/>
        <v>0.90382294560448151</v>
      </c>
      <c r="V320" s="642">
        <f t="shared" si="251"/>
        <v>0.90485952436701511</v>
      </c>
      <c r="W320" s="642">
        <f t="shared" si="251"/>
        <v>1.0003766955407833</v>
      </c>
      <c r="X320" s="642">
        <f t="shared" si="251"/>
        <v>1.0963338193735463</v>
      </c>
      <c r="Y320" s="642">
        <f t="shared" si="251"/>
        <v>1.19236176265751</v>
      </c>
      <c r="Z320" s="642">
        <f t="shared" si="251"/>
        <v>1.2887975286433413</v>
      </c>
      <c r="AA320" s="642">
        <f t="shared" si="251"/>
        <v>1.2881353716881356</v>
      </c>
      <c r="AB320" s="642">
        <f t="shared" si="251"/>
        <v>1.3794630258948504</v>
      </c>
      <c r="AC320" s="642">
        <f t="shared" si="251"/>
        <v>1.4704791008284666</v>
      </c>
      <c r="AD320" s="642">
        <f t="shared" si="251"/>
        <v>1.4692934720618676</v>
      </c>
      <c r="AE320" s="642">
        <f t="shared" si="251"/>
        <v>1.5596870208533518</v>
      </c>
      <c r="AF320" s="642">
        <f t="shared" si="251"/>
        <v>1.6495485945469333</v>
      </c>
      <c r="AG320" s="642">
        <f t="shared" si="251"/>
        <v>1.6518881074809262</v>
      </c>
      <c r="AH320" s="642">
        <f t="shared" si="251"/>
        <v>1.7457834058983657</v>
      </c>
      <c r="AI320" s="642">
        <f t="shared" si="251"/>
        <v>1.839711874662773</v>
      </c>
      <c r="AJ320" s="642">
        <f t="shared" si="251"/>
        <v>1.8414818256434049</v>
      </c>
      <c r="AK320" s="642">
        <f t="shared" si="251"/>
        <v>1.9350237650914393</v>
      </c>
      <c r="AL320" s="642">
        <f t="shared" si="251"/>
        <v>2.027435222029617</v>
      </c>
      <c r="AM320" s="642">
        <f t="shared" si="251"/>
        <v>2.1197788300757381</v>
      </c>
      <c r="AN320" s="642">
        <f t="shared" si="251"/>
        <v>2.1199503744315988</v>
      </c>
      <c r="AO320" s="642">
        <f t="shared" si="251"/>
        <v>2.2148570695750358</v>
      </c>
      <c r="AP320" s="642">
        <f t="shared" si="251"/>
        <v>2.3100354407618862</v>
      </c>
      <c r="AQ320" s="642">
        <f t="shared" si="251"/>
        <v>2.3129428143131756</v>
      </c>
      <c r="AR320" s="642">
        <f t="shared" si="251"/>
        <v>2.4084811247050695</v>
      </c>
      <c r="AS320" s="642">
        <f t="shared" si="251"/>
        <v>2.5040696323773846</v>
      </c>
      <c r="AT320" s="642">
        <f t="shared" si="251"/>
        <v>2.506883419710594</v>
      </c>
      <c r="AU320" s="642">
        <f t="shared" si="251"/>
        <v>2.6026569794658463</v>
      </c>
      <c r="AV320" s="642">
        <f t="shared" si="251"/>
        <v>2.6985632260218053</v>
      </c>
      <c r="AW320" s="642">
        <f t="shared" si="251"/>
        <v>2.701478662629941</v>
      </c>
      <c r="AX320" s="642">
        <f t="shared" si="251"/>
        <v>2.7976678728694182</v>
      </c>
      <c r="AY320" s="642">
        <f t="shared" si="251"/>
        <v>2.8940708790571006</v>
      </c>
      <c r="AZ320" s="642">
        <f t="shared" si="251"/>
        <v>2.8972911368691019</v>
      </c>
      <c r="BA320" s="642">
        <f t="shared" si="251"/>
        <v>2.9941610869690152</v>
      </c>
      <c r="BB320" s="642">
        <f t="shared" si="251"/>
        <v>3.0913147812556887</v>
      </c>
      <c r="BC320" s="642">
        <f t="shared" si="251"/>
        <v>3.094907859745498</v>
      </c>
      <c r="BD320" s="642">
        <f t="shared" si="251"/>
        <v>3.1924956123451671</v>
      </c>
      <c r="BE320" s="642">
        <f t="shared" si="251"/>
        <v>3.2903808746998866</v>
      </c>
      <c r="BF320" s="642">
        <f t="shared" si="251"/>
        <v>3.2944583000797096</v>
      </c>
      <c r="BG320" s="642">
        <f t="shared" si="251"/>
        <v>3.3929502262413265</v>
      </c>
      <c r="BH320" s="642">
        <f t="shared" si="251"/>
        <v>3.4918413249756171</v>
      </c>
      <c r="BI320" s="642">
        <f t="shared" si="251"/>
        <v>3.496648037822327</v>
      </c>
      <c r="BJ320" s="642">
        <f t="shared" si="251"/>
        <v>3.5961942784054934</v>
      </c>
      <c r="BK320" s="642">
        <f t="shared" si="251"/>
        <v>3.6961416819868593</v>
      </c>
      <c r="BL320" s="642">
        <f t="shared" si="251"/>
        <v>3.7015730168002241</v>
      </c>
      <c r="BM320" s="642">
        <f t="shared" si="251"/>
        <v>3.802223726167834</v>
      </c>
      <c r="BN320" s="642">
        <f t="shared" si="251"/>
        <v>3.903396683426922</v>
      </c>
      <c r="BO320" s="642">
        <f t="shared" si="251"/>
        <v>3.9097157436171033</v>
      </c>
      <c r="BP320" s="642">
        <f t="shared" si="251"/>
        <v>4.0118227770210346</v>
      </c>
      <c r="BQ320" s="642">
        <f t="shared" si="251"/>
        <v>4.1144862653209415</v>
      </c>
      <c r="BR320" s="642">
        <f t="shared" si="251"/>
        <v>4.1218636441783518</v>
      </c>
      <c r="BS320" s="642">
        <f t="shared" si="251"/>
        <v>4.2253846160257682</v>
      </c>
      <c r="BT320" s="642">
        <f t="shared" si="251"/>
        <v>4.3294129536028532</v>
      </c>
      <c r="BU320" s="642">
        <f t="shared" si="251"/>
        <v>4.3375520868207706</v>
      </c>
      <c r="BV320" s="642">
        <f t="shared" ref="BV320:CI320" si="252">BV319*(SUM(BV314:BV318)-SUM(BV326:BV329))</f>
        <v>4.4424407335756282</v>
      </c>
      <c r="BW320" s="642">
        <f t="shared" si="252"/>
        <v>4.5477433588641984</v>
      </c>
      <c r="BX320" s="642">
        <f t="shared" si="252"/>
        <v>4.5565766648329555</v>
      </c>
      <c r="BY320" s="642">
        <f t="shared" si="252"/>
        <v>4.6626460082115111</v>
      </c>
      <c r="BZ320" s="642">
        <f t="shared" si="252"/>
        <v>4.7692267523921839</v>
      </c>
      <c r="CA320" s="642">
        <f t="shared" si="252"/>
        <v>4.7787216726340187</v>
      </c>
      <c r="CB320" s="642">
        <f t="shared" si="252"/>
        <v>4.8859989916477096</v>
      </c>
      <c r="CC320" s="642">
        <f t="shared" si="252"/>
        <v>4.9936165474269441</v>
      </c>
      <c r="CD320" s="642">
        <f t="shared" si="252"/>
        <v>5.0035542669199664</v>
      </c>
      <c r="CE320" s="642">
        <f t="shared" si="252"/>
        <v>5.1117523461643586</v>
      </c>
      <c r="CF320" s="642">
        <f t="shared" si="252"/>
        <v>5.2202888694765157</v>
      </c>
      <c r="CG320" s="642">
        <f t="shared" si="252"/>
        <v>5.2304119029554403</v>
      </c>
      <c r="CH320" s="642">
        <f t="shared" si="252"/>
        <v>5.3351774855629719</v>
      </c>
      <c r="CI320" s="642">
        <f t="shared" si="252"/>
        <v>5.4400450464800008</v>
      </c>
      <c r="CJ320" s="1478"/>
      <c r="CK320" s="796"/>
    </row>
    <row r="321" spans="2:89" x14ac:dyDescent="0.35">
      <c r="B321" s="1038" t="s">
        <v>582</v>
      </c>
      <c r="C321" s="1043" t="s">
        <v>364</v>
      </c>
      <c r="D321" s="1044" t="s">
        <v>583</v>
      </c>
      <c r="E321" s="1045" t="s">
        <v>366</v>
      </c>
      <c r="F321" s="1046">
        <v>1</v>
      </c>
      <c r="G321" s="834">
        <f>(((G317-G328))*1000000)/((G350)*1000)</f>
        <v>143.70222594682829</v>
      </c>
      <c r="H321" s="834">
        <f t="shared" ref="H321:BS322" si="253">(((H317-H328))*1000000)/((H350)*1000)</f>
        <v>143.95000089130801</v>
      </c>
      <c r="I321" s="834">
        <f t="shared" si="253"/>
        <v>165.97930257458114</v>
      </c>
      <c r="J321" s="834">
        <f t="shared" si="253"/>
        <v>159.83801944585363</v>
      </c>
      <c r="K321" s="834">
        <f t="shared" si="253"/>
        <v>153.98954773593849</v>
      </c>
      <c r="L321" s="834">
        <f t="shared" si="253"/>
        <v>148.17996050694964</v>
      </c>
      <c r="M321" s="835">
        <f t="shared" si="253"/>
        <v>146.44460366029716</v>
      </c>
      <c r="N321" s="835">
        <f t="shared" si="253"/>
        <v>144.82443738780404</v>
      </c>
      <c r="O321" s="835">
        <f t="shared" si="253"/>
        <v>143.3789471976211</v>
      </c>
      <c r="P321" s="835">
        <f t="shared" si="253"/>
        <v>142.10327687615546</v>
      </c>
      <c r="Q321" s="835">
        <f t="shared" si="253"/>
        <v>140.6193547962101</v>
      </c>
      <c r="R321" s="835">
        <f t="shared" si="253"/>
        <v>139.06375747726696</v>
      </c>
      <c r="S321" s="835">
        <f t="shared" si="253"/>
        <v>137.65916047702507</v>
      </c>
      <c r="T321" s="835">
        <f t="shared" si="253"/>
        <v>136.3433810930386</v>
      </c>
      <c r="U321" s="835">
        <f t="shared" si="253"/>
        <v>135.07333507100995</v>
      </c>
      <c r="V321" s="835">
        <f t="shared" si="253"/>
        <v>133.84612755430257</v>
      </c>
      <c r="W321" s="835">
        <f t="shared" si="253"/>
        <v>133.00580986602913</v>
      </c>
      <c r="X321" s="835">
        <f t="shared" si="253"/>
        <v>132.07868703919695</v>
      </c>
      <c r="Y321" s="835">
        <f t="shared" si="253"/>
        <v>131.14797213433641</v>
      </c>
      <c r="Z321" s="835">
        <f t="shared" si="253"/>
        <v>130.19171131917281</v>
      </c>
      <c r="AA321" s="835">
        <f t="shared" si="253"/>
        <v>129.27734623128126</v>
      </c>
      <c r="AB321" s="835">
        <f t="shared" si="253"/>
        <v>128.36773441311342</v>
      </c>
      <c r="AC321" s="835">
        <f t="shared" si="253"/>
        <v>127.44875644573233</v>
      </c>
      <c r="AD321" s="835">
        <f t="shared" si="253"/>
        <v>126.52284640399374</v>
      </c>
      <c r="AE321" s="835">
        <f t="shared" si="253"/>
        <v>125.58569239235408</v>
      </c>
      <c r="AF321" s="835">
        <f t="shared" si="253"/>
        <v>124.64762794925998</v>
      </c>
      <c r="AG321" s="835">
        <f t="shared" si="253"/>
        <v>124.30361991051552</v>
      </c>
      <c r="AH321" s="835">
        <f t="shared" si="253"/>
        <v>123.95910726224149</v>
      </c>
      <c r="AI321" s="835">
        <f t="shared" si="253"/>
        <v>123.60626772594368</v>
      </c>
      <c r="AJ321" s="835">
        <f t="shared" si="253"/>
        <v>123.25031439488743</v>
      </c>
      <c r="AK321" s="835">
        <f t="shared" si="253"/>
        <v>122.89789924862248</v>
      </c>
      <c r="AL321" s="835">
        <f t="shared" si="253"/>
        <v>122.71589035026632</v>
      </c>
      <c r="AM321" s="835">
        <f t="shared" si="253"/>
        <v>122.52764894077875</v>
      </c>
      <c r="AN321" s="835">
        <f t="shared" si="253"/>
        <v>122.33952054289699</v>
      </c>
      <c r="AO321" s="835">
        <f t="shared" si="253"/>
        <v>122.39352487409795</v>
      </c>
      <c r="AP321" s="835">
        <f t="shared" si="253"/>
        <v>122.4519257051937</v>
      </c>
      <c r="AQ321" s="835">
        <f t="shared" si="253"/>
        <v>122.51975080106673</v>
      </c>
      <c r="AR321" s="835">
        <f t="shared" si="253"/>
        <v>122.58450377563712</v>
      </c>
      <c r="AS321" s="835">
        <f t="shared" si="253"/>
        <v>122.63829229433361</v>
      </c>
      <c r="AT321" s="835">
        <f t="shared" si="253"/>
        <v>122.68690351982885</v>
      </c>
      <c r="AU321" s="835">
        <f t="shared" si="253"/>
        <v>122.73776313234828</v>
      </c>
      <c r="AV321" s="835">
        <f t="shared" si="253"/>
        <v>122.7886246777434</v>
      </c>
      <c r="AW321" s="835">
        <f t="shared" si="253"/>
        <v>122.83690844738652</v>
      </c>
      <c r="AX321" s="835">
        <f t="shared" si="253"/>
        <v>122.88791691645363</v>
      </c>
      <c r="AY321" s="835">
        <f t="shared" si="253"/>
        <v>122.94542518324273</v>
      </c>
      <c r="AZ321" s="835">
        <f t="shared" si="253"/>
        <v>123.00906874761576</v>
      </c>
      <c r="BA321" s="835">
        <f t="shared" si="253"/>
        <v>123.07791902446877</v>
      </c>
      <c r="BB321" s="835">
        <f t="shared" si="253"/>
        <v>123.14549368369059</v>
      </c>
      <c r="BC321" s="835">
        <f t="shared" si="253"/>
        <v>123.21106535225323</v>
      </c>
      <c r="BD321" s="835">
        <f t="shared" si="253"/>
        <v>123.27822144934542</v>
      </c>
      <c r="BE321" s="835">
        <f t="shared" si="253"/>
        <v>123.34706531282816</v>
      </c>
      <c r="BF321" s="835">
        <f t="shared" si="253"/>
        <v>123.4178733561384</v>
      </c>
      <c r="BG321" s="835">
        <f t="shared" si="253"/>
        <v>123.48925348643608</v>
      </c>
      <c r="BH321" s="835">
        <f t="shared" si="253"/>
        <v>123.56261593885738</v>
      </c>
      <c r="BI321" s="835">
        <f t="shared" si="253"/>
        <v>123.63554167211447</v>
      </c>
      <c r="BJ321" s="835">
        <f t="shared" si="253"/>
        <v>123.70615134952136</v>
      </c>
      <c r="BK321" s="835">
        <f t="shared" si="253"/>
        <v>123.77824702646795</v>
      </c>
      <c r="BL321" s="835">
        <f t="shared" si="253"/>
        <v>123.84678715589635</v>
      </c>
      <c r="BM321" s="835">
        <f t="shared" si="253"/>
        <v>123.91384168034789</v>
      </c>
      <c r="BN321" s="835">
        <f t="shared" si="253"/>
        <v>123.98385697101806</v>
      </c>
      <c r="BO321" s="835">
        <f t="shared" si="253"/>
        <v>124.05522986037383</v>
      </c>
      <c r="BP321" s="835">
        <f t="shared" si="253"/>
        <v>124.13347066906574</v>
      </c>
      <c r="BQ321" s="835">
        <f t="shared" si="253"/>
        <v>124.21599850046067</v>
      </c>
      <c r="BR321" s="835">
        <f t="shared" si="253"/>
        <v>124.30236273771955</v>
      </c>
      <c r="BS321" s="835">
        <f t="shared" si="253"/>
        <v>124.38916070148804</v>
      </c>
      <c r="BT321" s="835">
        <f t="shared" ref="BT321:CI322" si="254">(((BT317-BT328))*1000000)/((BT350)*1000)</f>
        <v>124.47814913923146</v>
      </c>
      <c r="BU321" s="835">
        <f t="shared" si="254"/>
        <v>124.57088577195886</v>
      </c>
      <c r="BV321" s="835">
        <f t="shared" si="254"/>
        <v>124.6668901609149</v>
      </c>
      <c r="BW321" s="835">
        <f t="shared" si="254"/>
        <v>124.76414533424528</v>
      </c>
      <c r="BX321" s="835">
        <f t="shared" si="254"/>
        <v>124.86474180302119</v>
      </c>
      <c r="BY321" s="835">
        <f t="shared" si="254"/>
        <v>124.96956626093132</v>
      </c>
      <c r="BZ321" s="835">
        <f t="shared" si="254"/>
        <v>125.08138142207471</v>
      </c>
      <c r="CA321" s="835">
        <f t="shared" si="254"/>
        <v>125.19555405195034</v>
      </c>
      <c r="CB321" s="835">
        <f t="shared" si="254"/>
        <v>125.31180347761526</v>
      </c>
      <c r="CC321" s="835">
        <f t="shared" si="254"/>
        <v>125.42555276530069</v>
      </c>
      <c r="CD321" s="835">
        <f t="shared" si="254"/>
        <v>125.54182075441581</v>
      </c>
      <c r="CE321" s="835">
        <f t="shared" si="254"/>
        <v>125.65996073050223</v>
      </c>
      <c r="CF321" s="835">
        <f t="shared" si="254"/>
        <v>125.77851505753415</v>
      </c>
      <c r="CG321" s="835">
        <f t="shared" si="254"/>
        <v>125.89303342300295</v>
      </c>
      <c r="CH321" s="835">
        <f t="shared" si="254"/>
        <v>126.00479676206407</v>
      </c>
      <c r="CI321" s="836">
        <f t="shared" si="254"/>
        <v>126.11497942993363</v>
      </c>
      <c r="CJ321" s="1478"/>
      <c r="CK321" s="796"/>
    </row>
    <row r="322" spans="2:89" x14ac:dyDescent="0.35">
      <c r="B322" s="1038" t="s">
        <v>584</v>
      </c>
      <c r="C322" s="1043" t="s">
        <v>368</v>
      </c>
      <c r="D322" s="1044" t="s">
        <v>585</v>
      </c>
      <c r="E322" s="1045" t="s">
        <v>366</v>
      </c>
      <c r="F322" s="1046">
        <v>1</v>
      </c>
      <c r="G322" s="834">
        <f>(((G318-G329))*1000000)/((G351)*1000)</f>
        <v>220.73170833505901</v>
      </c>
      <c r="H322" s="834">
        <f t="shared" si="253"/>
        <v>220.16683972479461</v>
      </c>
      <c r="I322" s="834">
        <f t="shared" si="253"/>
        <v>219.8064087958947</v>
      </c>
      <c r="J322" s="834">
        <f t="shared" si="253"/>
        <v>209.84149960566356</v>
      </c>
      <c r="K322" s="834">
        <f t="shared" si="253"/>
        <v>200.52296720077052</v>
      </c>
      <c r="L322" s="834">
        <f t="shared" si="253"/>
        <v>191.45858386737433</v>
      </c>
      <c r="M322" s="835">
        <f t="shared" si="253"/>
        <v>196.33193741285953</v>
      </c>
      <c r="N322" s="835">
        <f t="shared" si="253"/>
        <v>202.23600758487379</v>
      </c>
      <c r="O322" s="835">
        <f t="shared" si="253"/>
        <v>209.56282325308925</v>
      </c>
      <c r="P322" s="835">
        <f t="shared" si="253"/>
        <v>218.88054085633749</v>
      </c>
      <c r="Q322" s="835">
        <f t="shared" si="253"/>
        <v>231.10590937867093</v>
      </c>
      <c r="R322" s="835">
        <f t="shared" si="253"/>
        <v>247.9390258518624</v>
      </c>
      <c r="S322" s="835">
        <f t="shared" si="253"/>
        <v>272.37250519259982</v>
      </c>
      <c r="T322" s="835">
        <f t="shared" si="253"/>
        <v>311.08643955241467</v>
      </c>
      <c r="U322" s="835">
        <f t="shared" si="253"/>
        <v>381.78422443196632</v>
      </c>
      <c r="V322" s="835">
        <f t="shared" si="253"/>
        <v>551.78043190856658</v>
      </c>
      <c r="W322" s="835">
        <f t="shared" si="253"/>
        <v>1500.5709235293903</v>
      </c>
      <c r="X322" s="835">
        <f t="shared" si="253"/>
        <v>1484.2567852941118</v>
      </c>
      <c r="Y322" s="835">
        <f t="shared" si="253"/>
        <v>1468.4250088235233</v>
      </c>
      <c r="Z322" s="835">
        <f t="shared" si="253"/>
        <v>1453.1721205882291</v>
      </c>
      <c r="AA322" s="835">
        <f t="shared" si="253"/>
        <v>1438.1672029411702</v>
      </c>
      <c r="AB322" s="835">
        <f t="shared" si="253"/>
        <v>1423.5719344117585</v>
      </c>
      <c r="AC322" s="835">
        <f t="shared" si="253"/>
        <v>1409.4223523529347</v>
      </c>
      <c r="AD322" s="835">
        <f t="shared" si="253"/>
        <v>1395.6898970588177</v>
      </c>
      <c r="AE322" s="835">
        <f t="shared" si="253"/>
        <v>1382.3778720588177</v>
      </c>
      <c r="AF322" s="835">
        <f t="shared" si="253"/>
        <v>1369.4195573529353</v>
      </c>
      <c r="AG322" s="835">
        <f t="shared" si="253"/>
        <v>1356.7635711764642</v>
      </c>
      <c r="AH322" s="835">
        <f t="shared" si="253"/>
        <v>1344.4389938235231</v>
      </c>
      <c r="AI322" s="835">
        <f t="shared" si="253"/>
        <v>1332.471623235288</v>
      </c>
      <c r="AJ322" s="835">
        <f t="shared" si="253"/>
        <v>1320.8296523529355</v>
      </c>
      <c r="AK322" s="835">
        <f t="shared" si="253"/>
        <v>1309.4771655882291</v>
      </c>
      <c r="AL322" s="835">
        <f t="shared" si="253"/>
        <v>1299.0890235294053</v>
      </c>
      <c r="AM322" s="835">
        <f t="shared" si="253"/>
        <v>1288.9768741176406</v>
      </c>
      <c r="AN322" s="835">
        <f t="shared" si="253"/>
        <v>1279.112656176464</v>
      </c>
      <c r="AO322" s="835">
        <f t="shared" si="253"/>
        <v>1269.4882044117585</v>
      </c>
      <c r="AP322" s="835">
        <f t="shared" si="253"/>
        <v>1260.0862452941114</v>
      </c>
      <c r="AQ322" s="835">
        <f t="shared" si="253"/>
        <v>1250.8849988235236</v>
      </c>
      <c r="AR322" s="835">
        <f t="shared" si="253"/>
        <v>1241.919405588229</v>
      </c>
      <c r="AS322" s="835">
        <f t="shared" si="253"/>
        <v>1233.2044023529352</v>
      </c>
      <c r="AT322" s="835">
        <f t="shared" si="253"/>
        <v>1224.7156367646999</v>
      </c>
      <c r="AU322" s="835">
        <f t="shared" si="253"/>
        <v>1216.4273179411707</v>
      </c>
      <c r="AV322" s="835">
        <f t="shared" si="253"/>
        <v>1208.3398767647</v>
      </c>
      <c r="AW322" s="835">
        <f t="shared" si="253"/>
        <v>1200.4560441176413</v>
      </c>
      <c r="AX322" s="835">
        <f t="shared" si="253"/>
        <v>1192.7629285294061</v>
      </c>
      <c r="AY322" s="835">
        <f t="shared" si="253"/>
        <v>1185.2455179411704</v>
      </c>
      <c r="AZ322" s="835">
        <f t="shared" si="253"/>
        <v>1177.9015658823469</v>
      </c>
      <c r="BA322" s="835">
        <f t="shared" si="253"/>
        <v>1170.7295938235234</v>
      </c>
      <c r="BB322" s="835">
        <f t="shared" si="253"/>
        <v>1163.7417126470527</v>
      </c>
      <c r="BC322" s="835">
        <f t="shared" si="253"/>
        <v>1156.9340141176408</v>
      </c>
      <c r="BD322" s="835">
        <f t="shared" si="253"/>
        <v>1150.2938779411704</v>
      </c>
      <c r="BE322" s="835">
        <f t="shared" si="253"/>
        <v>1143.8164605882291</v>
      </c>
      <c r="BF322" s="835">
        <f t="shared" si="253"/>
        <v>1137.4971202941115</v>
      </c>
      <c r="BG322" s="835">
        <f t="shared" si="253"/>
        <v>1131.3357417646998</v>
      </c>
      <c r="BH322" s="835">
        <f t="shared" si="253"/>
        <v>1125.324875294112</v>
      </c>
      <c r="BI322" s="835">
        <f t="shared" si="253"/>
        <v>1119.4660076470527</v>
      </c>
      <c r="BJ322" s="835">
        <f t="shared" si="253"/>
        <v>1113.7585326470526</v>
      </c>
      <c r="BK322" s="835">
        <f t="shared" si="253"/>
        <v>1108.1905752941116</v>
      </c>
      <c r="BL322" s="835">
        <f t="shared" si="253"/>
        <v>1102.7687123529349</v>
      </c>
      <c r="BM322" s="835">
        <f t="shared" si="253"/>
        <v>1097.4850261764645</v>
      </c>
      <c r="BN322" s="835">
        <f t="shared" si="253"/>
        <v>1092.3275229411704</v>
      </c>
      <c r="BO322" s="835">
        <f t="shared" si="253"/>
        <v>1087.2958908823466</v>
      </c>
      <c r="BP322" s="835">
        <f t="shared" si="253"/>
        <v>1082.3770332352881</v>
      </c>
      <c r="BQ322" s="835">
        <f t="shared" si="253"/>
        <v>1077.5728417646997</v>
      </c>
      <c r="BR322" s="835">
        <f t="shared" si="253"/>
        <v>1072.8813520588174</v>
      </c>
      <c r="BS322" s="835">
        <f t="shared" si="253"/>
        <v>1068.3050488235233</v>
      </c>
      <c r="BT322" s="835">
        <f t="shared" si="254"/>
        <v>1063.8381444117585</v>
      </c>
      <c r="BU322" s="835">
        <f t="shared" si="254"/>
        <v>1059.4751629411705</v>
      </c>
      <c r="BV322" s="835">
        <f t="shared" si="254"/>
        <v>1055.2145652941115</v>
      </c>
      <c r="BW322" s="835">
        <f t="shared" si="254"/>
        <v>1051.0563832352882</v>
      </c>
      <c r="BX322" s="835">
        <f t="shared" si="254"/>
        <v>1046.9950061764646</v>
      </c>
      <c r="BY322" s="835">
        <f t="shared" si="254"/>
        <v>1043.0266594117586</v>
      </c>
      <c r="BZ322" s="835">
        <f t="shared" si="254"/>
        <v>1039.1450582352879</v>
      </c>
      <c r="CA322" s="835">
        <f t="shared" si="254"/>
        <v>1035.3548423529348</v>
      </c>
      <c r="CB322" s="835">
        <f t="shared" si="254"/>
        <v>1031.6541973529349</v>
      </c>
      <c r="CC322" s="835">
        <f t="shared" si="254"/>
        <v>1028.0469676470527</v>
      </c>
      <c r="CD322" s="835">
        <f t="shared" si="254"/>
        <v>1024.5239261764646</v>
      </c>
      <c r="CE322" s="835">
        <f t="shared" si="254"/>
        <v>1021.0835535294055</v>
      </c>
      <c r="CF322" s="835">
        <f t="shared" si="254"/>
        <v>1017.7257482352877</v>
      </c>
      <c r="CG322" s="835">
        <f t="shared" si="254"/>
        <v>1014.4540714705819</v>
      </c>
      <c r="CH322" s="835">
        <f t="shared" si="254"/>
        <v>1011.2645899999937</v>
      </c>
      <c r="CI322" s="836">
        <f t="shared" si="254"/>
        <v>1008.1534320588175</v>
      </c>
      <c r="CJ322" s="1478"/>
      <c r="CK322" s="796"/>
    </row>
    <row r="323" spans="2:89" ht="28" x14ac:dyDescent="0.35">
      <c r="B323" s="1038" t="s">
        <v>586</v>
      </c>
      <c r="C323" s="1043" t="s">
        <v>371</v>
      </c>
      <c r="D323" s="1044" t="s">
        <v>587</v>
      </c>
      <c r="E323" s="1045" t="s">
        <v>366</v>
      </c>
      <c r="F323" s="1046">
        <v>1</v>
      </c>
      <c r="G323" s="834">
        <f>(((G317-G328)+(G318-G329))*1000000)/((G350+G351)*1000)</f>
        <v>166.4923131715201</v>
      </c>
      <c r="H323" s="834">
        <f t="shared" ref="H323:BS323" si="255">(((H317-H328)+(H318-H329))*1000000)/((H350+H351)*1000)</f>
        <v>165.78438221978459</v>
      </c>
      <c r="I323" s="834">
        <f t="shared" si="255"/>
        <v>181.11008646193531</v>
      </c>
      <c r="J323" s="834">
        <f t="shared" si="255"/>
        <v>173.32872600434644</v>
      </c>
      <c r="K323" s="834">
        <f t="shared" si="255"/>
        <v>166.07246494698472</v>
      </c>
      <c r="L323" s="834">
        <f t="shared" si="255"/>
        <v>158.99680388016006</v>
      </c>
      <c r="M323" s="835">
        <f t="shared" si="255"/>
        <v>157.5809484027273</v>
      </c>
      <c r="N323" s="835">
        <f t="shared" si="255"/>
        <v>156.2274264386015</v>
      </c>
      <c r="O323" s="835">
        <f t="shared" si="255"/>
        <v>154.91204908259496</v>
      </c>
      <c r="P323" s="835">
        <f t="shared" si="255"/>
        <v>153.68805730298391</v>
      </c>
      <c r="Q323" s="835">
        <f t="shared" si="255"/>
        <v>152.25832397956748</v>
      </c>
      <c r="R323" s="835">
        <f t="shared" si="255"/>
        <v>150.72178874838264</v>
      </c>
      <c r="S323" s="835">
        <f t="shared" si="255"/>
        <v>149.29696986698917</v>
      </c>
      <c r="T323" s="835">
        <f t="shared" si="255"/>
        <v>147.92881015999802</v>
      </c>
      <c r="U323" s="835">
        <f t="shared" si="255"/>
        <v>146.55406758499637</v>
      </c>
      <c r="V323" s="835">
        <f t="shared" si="255"/>
        <v>145.17333371938528</v>
      </c>
      <c r="W323" s="835">
        <f t="shared" si="255"/>
        <v>143.98745484228553</v>
      </c>
      <c r="X323" s="835">
        <f t="shared" si="255"/>
        <v>142.86540687646232</v>
      </c>
      <c r="Y323" s="835">
        <f t="shared" si="255"/>
        <v>141.75189989726223</v>
      </c>
      <c r="Z323" s="835">
        <f t="shared" si="255"/>
        <v>140.61453480694337</v>
      </c>
      <c r="AA323" s="835">
        <f t="shared" si="255"/>
        <v>139.53067081836863</v>
      </c>
      <c r="AB323" s="835">
        <f t="shared" si="255"/>
        <v>138.4561074602403</v>
      </c>
      <c r="AC323" s="835">
        <f t="shared" si="255"/>
        <v>137.3787594661639</v>
      </c>
      <c r="AD323" s="835">
        <f t="shared" si="255"/>
        <v>136.30102430307309</v>
      </c>
      <c r="AE323" s="835">
        <f t="shared" si="255"/>
        <v>135.21741078511744</v>
      </c>
      <c r="AF323" s="835">
        <f t="shared" si="255"/>
        <v>134.13995788647975</v>
      </c>
      <c r="AG323" s="835">
        <f t="shared" si="255"/>
        <v>133.66015057918511</v>
      </c>
      <c r="AH323" s="835">
        <f t="shared" si="255"/>
        <v>133.18648605226238</v>
      </c>
      <c r="AI323" s="835">
        <f t="shared" si="255"/>
        <v>132.70924105967109</v>
      </c>
      <c r="AJ323" s="835">
        <f t="shared" si="255"/>
        <v>132.2342982984768</v>
      </c>
      <c r="AK323" s="835">
        <f t="shared" si="255"/>
        <v>131.76909257762253</v>
      </c>
      <c r="AL323" s="835">
        <f t="shared" si="255"/>
        <v>131.50248700403554</v>
      </c>
      <c r="AM323" s="835">
        <f t="shared" si="255"/>
        <v>131.23222159820199</v>
      </c>
      <c r="AN323" s="835">
        <f t="shared" si="255"/>
        <v>130.96428664533971</v>
      </c>
      <c r="AO323" s="835">
        <f t="shared" si="255"/>
        <v>130.9391972197472</v>
      </c>
      <c r="AP323" s="835">
        <f t="shared" si="255"/>
        <v>130.92041319510892</v>
      </c>
      <c r="AQ323" s="835">
        <f t="shared" si="255"/>
        <v>130.91325953703827</v>
      </c>
      <c r="AR323" s="835">
        <f t="shared" si="255"/>
        <v>130.90485098157885</v>
      </c>
      <c r="AS323" s="835">
        <f t="shared" si="255"/>
        <v>130.88791680133036</v>
      </c>
      <c r="AT323" s="835">
        <f t="shared" si="255"/>
        <v>130.86815161580478</v>
      </c>
      <c r="AU323" s="835">
        <f t="shared" si="255"/>
        <v>130.85239650779729</v>
      </c>
      <c r="AV323" s="835">
        <f t="shared" si="255"/>
        <v>130.83868795831944</v>
      </c>
      <c r="AW323" s="835">
        <f t="shared" si="255"/>
        <v>130.82412167224203</v>
      </c>
      <c r="AX323" s="835">
        <f t="shared" si="255"/>
        <v>130.81391670831121</v>
      </c>
      <c r="AY323" s="835">
        <f t="shared" si="255"/>
        <v>130.81197093100525</v>
      </c>
      <c r="AZ323" s="835">
        <f t="shared" si="255"/>
        <v>130.81759580129093</v>
      </c>
      <c r="BA323" s="835">
        <f t="shared" si="255"/>
        <v>130.82975399251359</v>
      </c>
      <c r="BB323" s="835">
        <f t="shared" si="255"/>
        <v>130.84177099317526</v>
      </c>
      <c r="BC323" s="835">
        <f t="shared" si="255"/>
        <v>130.8531149074648</v>
      </c>
      <c r="BD323" s="835">
        <f t="shared" si="255"/>
        <v>130.86709818454545</v>
      </c>
      <c r="BE323" s="835">
        <f t="shared" si="255"/>
        <v>130.88390850047912</v>
      </c>
      <c r="BF323" s="835">
        <f t="shared" si="255"/>
        <v>130.90374380721181</v>
      </c>
      <c r="BG323" s="835">
        <f t="shared" si="255"/>
        <v>130.92485322127226</v>
      </c>
      <c r="BH323" s="835">
        <f t="shared" si="255"/>
        <v>130.94873751888628</v>
      </c>
      <c r="BI323" s="835">
        <f t="shared" si="255"/>
        <v>130.97284500991955</v>
      </c>
      <c r="BJ323" s="835">
        <f t="shared" si="255"/>
        <v>130.99541723166652</v>
      </c>
      <c r="BK323" s="835">
        <f t="shared" si="255"/>
        <v>131.02027463507784</v>
      </c>
      <c r="BL323" s="835">
        <f t="shared" si="255"/>
        <v>131.0422263995128</v>
      </c>
      <c r="BM323" s="835">
        <f t="shared" si="255"/>
        <v>131.06325525348595</v>
      </c>
      <c r="BN323" s="835">
        <f t="shared" si="255"/>
        <v>131.08775396872954</v>
      </c>
      <c r="BO323" s="835">
        <f t="shared" si="255"/>
        <v>131.11414775374524</v>
      </c>
      <c r="BP323" s="835">
        <f t="shared" si="255"/>
        <v>131.14792475129329</v>
      </c>
      <c r="BQ323" s="835">
        <f t="shared" si="255"/>
        <v>131.18653086707485</v>
      </c>
      <c r="BR323" s="835">
        <f t="shared" si="255"/>
        <v>131.22948978969393</v>
      </c>
      <c r="BS323" s="835">
        <f t="shared" si="255"/>
        <v>131.27359772256838</v>
      </c>
      <c r="BT323" s="835">
        <f t="shared" ref="BT323:CI323" si="256">(((BT317-BT328)+(BT318-BT329))*1000000)/((BT350+BT351)*1000)</f>
        <v>131.32054304067731</v>
      </c>
      <c r="BU323" s="835">
        <f t="shared" si="256"/>
        <v>131.37196095169372</v>
      </c>
      <c r="BV323" s="835">
        <f t="shared" si="256"/>
        <v>131.42725355932618</v>
      </c>
      <c r="BW323" s="835">
        <f t="shared" si="256"/>
        <v>131.48465117400562</v>
      </c>
      <c r="BX323" s="835">
        <f t="shared" si="256"/>
        <v>131.54614599782997</v>
      </c>
      <c r="BY323" s="835">
        <f t="shared" si="256"/>
        <v>131.61265358651548</v>
      </c>
      <c r="BZ323" s="835">
        <f t="shared" si="256"/>
        <v>131.68694285787947</v>
      </c>
      <c r="CA323" s="835">
        <f t="shared" si="256"/>
        <v>131.76438297638029</v>
      </c>
      <c r="CB323" s="835">
        <f t="shared" si="256"/>
        <v>131.84464130202036</v>
      </c>
      <c r="CC323" s="835">
        <f t="shared" si="256"/>
        <v>131.92321175204037</v>
      </c>
      <c r="CD323" s="835">
        <f t="shared" si="256"/>
        <v>132.00506757028859</v>
      </c>
      <c r="CE323" s="835">
        <f t="shared" si="256"/>
        <v>132.08969352748329</v>
      </c>
      <c r="CF323" s="835">
        <f t="shared" si="256"/>
        <v>132.17557171297992</v>
      </c>
      <c r="CG323" s="835">
        <f t="shared" si="256"/>
        <v>132.25820366344138</v>
      </c>
      <c r="CH323" s="835">
        <f t="shared" si="256"/>
        <v>132.33882618671507</v>
      </c>
      <c r="CI323" s="836">
        <f t="shared" si="256"/>
        <v>132.41871054864799</v>
      </c>
      <c r="CJ323" s="1478"/>
      <c r="CK323" s="796"/>
    </row>
    <row r="324" spans="2:89" x14ac:dyDescent="0.35">
      <c r="B324" s="1038" t="s">
        <v>588</v>
      </c>
      <c r="C324" s="1043" t="s">
        <v>374</v>
      </c>
      <c r="D324" s="1044" t="s">
        <v>589</v>
      </c>
      <c r="E324" s="1045" t="s">
        <v>305</v>
      </c>
      <c r="F324" s="1046">
        <v>2</v>
      </c>
      <c r="G324" s="642">
        <f t="shared" ref="G324:AL324" si="257">G234+G292</f>
        <v>0.42</v>
      </c>
      <c r="H324" s="642">
        <f t="shared" si="257"/>
        <v>0.42</v>
      </c>
      <c r="I324" s="642">
        <f t="shared" si="257"/>
        <v>0.42</v>
      </c>
      <c r="J324" s="642">
        <f t="shared" si="257"/>
        <v>0.42</v>
      </c>
      <c r="K324" s="642">
        <f t="shared" si="257"/>
        <v>0.42</v>
      </c>
      <c r="L324" s="642">
        <f t="shared" si="257"/>
        <v>0.42</v>
      </c>
      <c r="M324" s="802">
        <f t="shared" si="257"/>
        <v>0.42</v>
      </c>
      <c r="N324" s="802">
        <f t="shared" si="257"/>
        <v>0.42</v>
      </c>
      <c r="O324" s="802">
        <f t="shared" si="257"/>
        <v>0.42</v>
      </c>
      <c r="P324" s="802">
        <f t="shared" si="257"/>
        <v>0.42</v>
      </c>
      <c r="Q324" s="802">
        <f t="shared" si="257"/>
        <v>0.42</v>
      </c>
      <c r="R324" s="802">
        <f t="shared" si="257"/>
        <v>0.42</v>
      </c>
      <c r="S324" s="802">
        <f t="shared" si="257"/>
        <v>0.42</v>
      </c>
      <c r="T324" s="802">
        <f t="shared" si="257"/>
        <v>0.42</v>
      </c>
      <c r="U324" s="802">
        <f t="shared" si="257"/>
        <v>0.42</v>
      </c>
      <c r="V324" s="802">
        <f t="shared" si="257"/>
        <v>0.42</v>
      </c>
      <c r="W324" s="802">
        <f t="shared" si="257"/>
        <v>0.42</v>
      </c>
      <c r="X324" s="802">
        <f t="shared" si="257"/>
        <v>0.42</v>
      </c>
      <c r="Y324" s="802">
        <f t="shared" si="257"/>
        <v>0.42</v>
      </c>
      <c r="Z324" s="802">
        <f t="shared" si="257"/>
        <v>0.42</v>
      </c>
      <c r="AA324" s="802">
        <f t="shared" si="257"/>
        <v>0.42</v>
      </c>
      <c r="AB324" s="802">
        <f t="shared" si="257"/>
        <v>0.42</v>
      </c>
      <c r="AC324" s="802">
        <f t="shared" si="257"/>
        <v>0.42</v>
      </c>
      <c r="AD324" s="802">
        <f t="shared" si="257"/>
        <v>0.42</v>
      </c>
      <c r="AE324" s="802">
        <f t="shared" si="257"/>
        <v>0.42</v>
      </c>
      <c r="AF324" s="802">
        <f t="shared" si="257"/>
        <v>0.42</v>
      </c>
      <c r="AG324" s="802">
        <f t="shared" si="257"/>
        <v>0.42</v>
      </c>
      <c r="AH324" s="802">
        <f t="shared" si="257"/>
        <v>0.42</v>
      </c>
      <c r="AI324" s="802">
        <f t="shared" si="257"/>
        <v>0.42</v>
      </c>
      <c r="AJ324" s="802">
        <f t="shared" si="257"/>
        <v>0.42</v>
      </c>
      <c r="AK324" s="802">
        <f t="shared" si="257"/>
        <v>0.42</v>
      </c>
      <c r="AL324" s="802">
        <f t="shared" si="257"/>
        <v>0.42</v>
      </c>
      <c r="AM324" s="802">
        <f t="shared" ref="AM324:BR324" si="258">AM234+AM292</f>
        <v>0.42</v>
      </c>
      <c r="AN324" s="802">
        <f t="shared" si="258"/>
        <v>0.42</v>
      </c>
      <c r="AO324" s="802">
        <f t="shared" si="258"/>
        <v>0.42</v>
      </c>
      <c r="AP324" s="802">
        <f t="shared" si="258"/>
        <v>0.42</v>
      </c>
      <c r="AQ324" s="802">
        <f t="shared" si="258"/>
        <v>0.42</v>
      </c>
      <c r="AR324" s="802">
        <f t="shared" si="258"/>
        <v>0.42</v>
      </c>
      <c r="AS324" s="802">
        <f t="shared" si="258"/>
        <v>0.42</v>
      </c>
      <c r="AT324" s="802">
        <f t="shared" si="258"/>
        <v>0.42</v>
      </c>
      <c r="AU324" s="802">
        <f t="shared" si="258"/>
        <v>0.42</v>
      </c>
      <c r="AV324" s="802">
        <f t="shared" si="258"/>
        <v>0.42</v>
      </c>
      <c r="AW324" s="802">
        <f t="shared" si="258"/>
        <v>0.42</v>
      </c>
      <c r="AX324" s="802">
        <f t="shared" si="258"/>
        <v>0.42</v>
      </c>
      <c r="AY324" s="802">
        <f t="shared" si="258"/>
        <v>0.42</v>
      </c>
      <c r="AZ324" s="802">
        <f t="shared" si="258"/>
        <v>0.42</v>
      </c>
      <c r="BA324" s="802">
        <f t="shared" si="258"/>
        <v>0.42</v>
      </c>
      <c r="BB324" s="802">
        <f t="shared" si="258"/>
        <v>0.42</v>
      </c>
      <c r="BC324" s="802">
        <f t="shared" si="258"/>
        <v>0.42</v>
      </c>
      <c r="BD324" s="802">
        <f t="shared" si="258"/>
        <v>0.42</v>
      </c>
      <c r="BE324" s="802">
        <f t="shared" si="258"/>
        <v>0.42</v>
      </c>
      <c r="BF324" s="802">
        <f t="shared" si="258"/>
        <v>0.42</v>
      </c>
      <c r="BG324" s="802">
        <f t="shared" si="258"/>
        <v>0.42</v>
      </c>
      <c r="BH324" s="802">
        <f t="shared" si="258"/>
        <v>0.42</v>
      </c>
      <c r="BI324" s="802">
        <f t="shared" si="258"/>
        <v>0.42</v>
      </c>
      <c r="BJ324" s="802">
        <f t="shared" si="258"/>
        <v>0.42</v>
      </c>
      <c r="BK324" s="802">
        <f t="shared" si="258"/>
        <v>0.42</v>
      </c>
      <c r="BL324" s="802">
        <f t="shared" si="258"/>
        <v>0.42</v>
      </c>
      <c r="BM324" s="802">
        <f t="shared" si="258"/>
        <v>0.42</v>
      </c>
      <c r="BN324" s="802">
        <f t="shared" si="258"/>
        <v>0.42</v>
      </c>
      <c r="BO324" s="802">
        <f t="shared" si="258"/>
        <v>0.42</v>
      </c>
      <c r="BP324" s="802">
        <f t="shared" si="258"/>
        <v>0.42</v>
      </c>
      <c r="BQ324" s="802">
        <f t="shared" si="258"/>
        <v>0.42</v>
      </c>
      <c r="BR324" s="802">
        <f t="shared" si="258"/>
        <v>0.42</v>
      </c>
      <c r="BS324" s="802">
        <f t="shared" ref="BS324:CI324" si="259">BS234+BS292</f>
        <v>0.42</v>
      </c>
      <c r="BT324" s="802">
        <f t="shared" si="259"/>
        <v>0.42</v>
      </c>
      <c r="BU324" s="802">
        <f t="shared" si="259"/>
        <v>0.42</v>
      </c>
      <c r="BV324" s="802">
        <f t="shared" si="259"/>
        <v>0.42</v>
      </c>
      <c r="BW324" s="802">
        <f t="shared" si="259"/>
        <v>0.42</v>
      </c>
      <c r="BX324" s="802">
        <f t="shared" si="259"/>
        <v>0.42</v>
      </c>
      <c r="BY324" s="802">
        <f t="shared" si="259"/>
        <v>0.42</v>
      </c>
      <c r="BZ324" s="802">
        <f t="shared" si="259"/>
        <v>0.42</v>
      </c>
      <c r="CA324" s="802">
        <f t="shared" si="259"/>
        <v>0.42</v>
      </c>
      <c r="CB324" s="802">
        <f t="shared" si="259"/>
        <v>0.42</v>
      </c>
      <c r="CC324" s="802">
        <f t="shared" si="259"/>
        <v>0.42</v>
      </c>
      <c r="CD324" s="802">
        <f t="shared" si="259"/>
        <v>0.42</v>
      </c>
      <c r="CE324" s="802">
        <f t="shared" si="259"/>
        <v>0.42</v>
      </c>
      <c r="CF324" s="802">
        <f t="shared" si="259"/>
        <v>0.42</v>
      </c>
      <c r="CG324" s="802">
        <f t="shared" si="259"/>
        <v>0.42</v>
      </c>
      <c r="CH324" s="802">
        <f t="shared" si="259"/>
        <v>0.42</v>
      </c>
      <c r="CI324" s="803">
        <f t="shared" si="259"/>
        <v>0.42</v>
      </c>
      <c r="CJ324" s="1478"/>
      <c r="CK324" s="796"/>
    </row>
    <row r="325" spans="2:89" ht="14.5" thickBot="1" x14ac:dyDescent="0.4">
      <c r="B325" s="1047" t="s">
        <v>590</v>
      </c>
      <c r="C325" s="1048" t="s">
        <v>376</v>
      </c>
      <c r="D325" s="1049" t="s">
        <v>591</v>
      </c>
      <c r="E325" s="1050" t="s">
        <v>305</v>
      </c>
      <c r="F325" s="1051">
        <v>2</v>
      </c>
      <c r="G325" s="813">
        <f t="shared" ref="G325:AL325" si="260">G235+G293</f>
        <v>0.12</v>
      </c>
      <c r="H325" s="813">
        <f t="shared" si="260"/>
        <v>0.12</v>
      </c>
      <c r="I325" s="813">
        <f t="shared" si="260"/>
        <v>0.12</v>
      </c>
      <c r="J325" s="813">
        <f t="shared" si="260"/>
        <v>0.12</v>
      </c>
      <c r="K325" s="813">
        <f t="shared" si="260"/>
        <v>0.12</v>
      </c>
      <c r="L325" s="813">
        <f t="shared" si="260"/>
        <v>0.12</v>
      </c>
      <c r="M325" s="842">
        <f t="shared" si="260"/>
        <v>0.12</v>
      </c>
      <c r="N325" s="842">
        <f t="shared" si="260"/>
        <v>0.12</v>
      </c>
      <c r="O325" s="842">
        <f t="shared" si="260"/>
        <v>0.12</v>
      </c>
      <c r="P325" s="842">
        <f t="shared" si="260"/>
        <v>0.12</v>
      </c>
      <c r="Q325" s="842">
        <f t="shared" si="260"/>
        <v>0.12</v>
      </c>
      <c r="R325" s="842">
        <f t="shared" si="260"/>
        <v>0.12</v>
      </c>
      <c r="S325" s="842">
        <f t="shared" si="260"/>
        <v>0.12</v>
      </c>
      <c r="T325" s="842">
        <f t="shared" si="260"/>
        <v>0.12</v>
      </c>
      <c r="U325" s="842">
        <f t="shared" si="260"/>
        <v>0.12</v>
      </c>
      <c r="V325" s="842">
        <f t="shared" si="260"/>
        <v>0.12</v>
      </c>
      <c r="W325" s="842">
        <f t="shared" si="260"/>
        <v>0.12</v>
      </c>
      <c r="X325" s="842">
        <f t="shared" si="260"/>
        <v>0.12</v>
      </c>
      <c r="Y325" s="842">
        <f t="shared" si="260"/>
        <v>0.12</v>
      </c>
      <c r="Z325" s="842">
        <f t="shared" si="260"/>
        <v>0.12</v>
      </c>
      <c r="AA325" s="842">
        <f t="shared" si="260"/>
        <v>0.12</v>
      </c>
      <c r="AB325" s="842">
        <f t="shared" si="260"/>
        <v>0.12</v>
      </c>
      <c r="AC325" s="842">
        <f t="shared" si="260"/>
        <v>0.12</v>
      </c>
      <c r="AD325" s="842">
        <f t="shared" si="260"/>
        <v>0.12</v>
      </c>
      <c r="AE325" s="842">
        <f t="shared" si="260"/>
        <v>0.12</v>
      </c>
      <c r="AF325" s="842">
        <f t="shared" si="260"/>
        <v>0.12</v>
      </c>
      <c r="AG325" s="842">
        <f t="shared" si="260"/>
        <v>0.12</v>
      </c>
      <c r="AH325" s="842">
        <f t="shared" si="260"/>
        <v>0.12</v>
      </c>
      <c r="AI325" s="842">
        <f t="shared" si="260"/>
        <v>0.12</v>
      </c>
      <c r="AJ325" s="842">
        <f t="shared" si="260"/>
        <v>0.12</v>
      </c>
      <c r="AK325" s="842">
        <f t="shared" si="260"/>
        <v>0.12</v>
      </c>
      <c r="AL325" s="842">
        <f t="shared" si="260"/>
        <v>0.12</v>
      </c>
      <c r="AM325" s="842">
        <f t="shared" ref="AM325:BR325" si="261">AM235+AM293</f>
        <v>0.12</v>
      </c>
      <c r="AN325" s="842">
        <f t="shared" si="261"/>
        <v>0.12</v>
      </c>
      <c r="AO325" s="842">
        <f t="shared" si="261"/>
        <v>0.12</v>
      </c>
      <c r="AP325" s="842">
        <f t="shared" si="261"/>
        <v>0.12</v>
      </c>
      <c r="AQ325" s="842">
        <f t="shared" si="261"/>
        <v>0.12</v>
      </c>
      <c r="AR325" s="842">
        <f t="shared" si="261"/>
        <v>0.12</v>
      </c>
      <c r="AS325" s="842">
        <f t="shared" si="261"/>
        <v>0.12</v>
      </c>
      <c r="AT325" s="842">
        <f t="shared" si="261"/>
        <v>0.12</v>
      </c>
      <c r="AU325" s="842">
        <f t="shared" si="261"/>
        <v>0.12</v>
      </c>
      <c r="AV325" s="842">
        <f t="shared" si="261"/>
        <v>0.12</v>
      </c>
      <c r="AW325" s="842">
        <f t="shared" si="261"/>
        <v>0.12</v>
      </c>
      <c r="AX325" s="842">
        <f t="shared" si="261"/>
        <v>0.12</v>
      </c>
      <c r="AY325" s="842">
        <f t="shared" si="261"/>
        <v>0.12</v>
      </c>
      <c r="AZ325" s="842">
        <f t="shared" si="261"/>
        <v>0.12</v>
      </c>
      <c r="BA325" s="842">
        <f t="shared" si="261"/>
        <v>0.12</v>
      </c>
      <c r="BB325" s="842">
        <f t="shared" si="261"/>
        <v>0.12</v>
      </c>
      <c r="BC325" s="842">
        <f t="shared" si="261"/>
        <v>0.12</v>
      </c>
      <c r="BD325" s="842">
        <f t="shared" si="261"/>
        <v>0.12</v>
      </c>
      <c r="BE325" s="842">
        <f t="shared" si="261"/>
        <v>0.12</v>
      </c>
      <c r="BF325" s="842">
        <f t="shared" si="261"/>
        <v>0.12</v>
      </c>
      <c r="BG325" s="842">
        <f t="shared" si="261"/>
        <v>0.12</v>
      </c>
      <c r="BH325" s="842">
        <f t="shared" si="261"/>
        <v>0.12</v>
      </c>
      <c r="BI325" s="842">
        <f t="shared" si="261"/>
        <v>0.12</v>
      </c>
      <c r="BJ325" s="842">
        <f t="shared" si="261"/>
        <v>0.12</v>
      </c>
      <c r="BK325" s="842">
        <f t="shared" si="261"/>
        <v>0.12</v>
      </c>
      <c r="BL325" s="842">
        <f t="shared" si="261"/>
        <v>0.12</v>
      </c>
      <c r="BM325" s="842">
        <f t="shared" si="261"/>
        <v>0.12</v>
      </c>
      <c r="BN325" s="842">
        <f t="shared" si="261"/>
        <v>0.12</v>
      </c>
      <c r="BO325" s="842">
        <f t="shared" si="261"/>
        <v>0.12</v>
      </c>
      <c r="BP325" s="842">
        <f t="shared" si="261"/>
        <v>0.12</v>
      </c>
      <c r="BQ325" s="842">
        <f t="shared" si="261"/>
        <v>0.12</v>
      </c>
      <c r="BR325" s="842">
        <f t="shared" si="261"/>
        <v>0.12</v>
      </c>
      <c r="BS325" s="842">
        <f t="shared" ref="BS325:CI325" si="262">BS235+BS293</f>
        <v>0.12</v>
      </c>
      <c r="BT325" s="842">
        <f t="shared" si="262"/>
        <v>0.12</v>
      </c>
      <c r="BU325" s="842">
        <f t="shared" si="262"/>
        <v>0.12</v>
      </c>
      <c r="BV325" s="842">
        <f t="shared" si="262"/>
        <v>0.12</v>
      </c>
      <c r="BW325" s="842">
        <f t="shared" si="262"/>
        <v>0.12</v>
      </c>
      <c r="BX325" s="842">
        <f t="shared" si="262"/>
        <v>0.12</v>
      </c>
      <c r="BY325" s="842">
        <f t="shared" si="262"/>
        <v>0.12</v>
      </c>
      <c r="BZ325" s="842">
        <f t="shared" si="262"/>
        <v>0.12</v>
      </c>
      <c r="CA325" s="842">
        <f t="shared" si="262"/>
        <v>0.12</v>
      </c>
      <c r="CB325" s="842">
        <f t="shared" si="262"/>
        <v>0.12</v>
      </c>
      <c r="CC325" s="842">
        <f t="shared" si="262"/>
        <v>0.12</v>
      </c>
      <c r="CD325" s="842">
        <f t="shared" si="262"/>
        <v>0.12</v>
      </c>
      <c r="CE325" s="842">
        <f t="shared" si="262"/>
        <v>0.12</v>
      </c>
      <c r="CF325" s="842">
        <f t="shared" si="262"/>
        <v>0.12</v>
      </c>
      <c r="CG325" s="842">
        <f t="shared" si="262"/>
        <v>0.12</v>
      </c>
      <c r="CH325" s="842">
        <f t="shared" si="262"/>
        <v>0.12</v>
      </c>
      <c r="CI325" s="843">
        <f t="shared" si="262"/>
        <v>0.12</v>
      </c>
      <c r="CJ325" s="1478"/>
      <c r="CK325" s="796"/>
    </row>
    <row r="326" spans="2:89" x14ac:dyDescent="0.35">
      <c r="B326" s="1018" t="s">
        <v>592</v>
      </c>
      <c r="C326" s="1019" t="s">
        <v>378</v>
      </c>
      <c r="D326" s="1010" t="s">
        <v>593</v>
      </c>
      <c r="E326" s="1020" t="s">
        <v>305</v>
      </c>
      <c r="F326" s="1021">
        <v>2</v>
      </c>
      <c r="G326" s="819">
        <f t="shared" ref="G326:AL326" si="263">G236+G294</f>
        <v>0.16</v>
      </c>
      <c r="H326" s="819">
        <f t="shared" si="263"/>
        <v>0.15</v>
      </c>
      <c r="I326" s="819">
        <f t="shared" si="263"/>
        <v>0.15</v>
      </c>
      <c r="J326" s="819">
        <f t="shared" si="263"/>
        <v>0.15</v>
      </c>
      <c r="K326" s="819">
        <f t="shared" si="263"/>
        <v>0.15</v>
      </c>
      <c r="L326" s="819">
        <f t="shared" si="263"/>
        <v>0.15</v>
      </c>
      <c r="M326" s="820">
        <f t="shared" si="263"/>
        <v>0.15</v>
      </c>
      <c r="N326" s="820">
        <f t="shared" si="263"/>
        <v>0.15</v>
      </c>
      <c r="O326" s="820">
        <f t="shared" si="263"/>
        <v>0.15</v>
      </c>
      <c r="P326" s="820">
        <f t="shared" si="263"/>
        <v>0.15</v>
      </c>
      <c r="Q326" s="820">
        <f t="shared" si="263"/>
        <v>0.15</v>
      </c>
      <c r="R326" s="820">
        <f t="shared" si="263"/>
        <v>0.15</v>
      </c>
      <c r="S326" s="820">
        <f t="shared" si="263"/>
        <v>0.15</v>
      </c>
      <c r="T326" s="820">
        <f t="shared" si="263"/>
        <v>0.15</v>
      </c>
      <c r="U326" s="820">
        <f t="shared" si="263"/>
        <v>0.15</v>
      </c>
      <c r="V326" s="820">
        <f t="shared" si="263"/>
        <v>0.15</v>
      </c>
      <c r="W326" s="820">
        <f t="shared" si="263"/>
        <v>0.15</v>
      </c>
      <c r="X326" s="820">
        <f t="shared" si="263"/>
        <v>0.15</v>
      </c>
      <c r="Y326" s="820">
        <f t="shared" si="263"/>
        <v>0.15</v>
      </c>
      <c r="Z326" s="820">
        <f t="shared" si="263"/>
        <v>0.15</v>
      </c>
      <c r="AA326" s="820">
        <f t="shared" si="263"/>
        <v>0.15</v>
      </c>
      <c r="AB326" s="820">
        <f t="shared" si="263"/>
        <v>0.15</v>
      </c>
      <c r="AC326" s="820">
        <f t="shared" si="263"/>
        <v>0.15</v>
      </c>
      <c r="AD326" s="820">
        <f t="shared" si="263"/>
        <v>0.15</v>
      </c>
      <c r="AE326" s="820">
        <f t="shared" si="263"/>
        <v>0.15</v>
      </c>
      <c r="AF326" s="820">
        <f t="shared" si="263"/>
        <v>0.15</v>
      </c>
      <c r="AG326" s="820">
        <f t="shared" si="263"/>
        <v>0.15</v>
      </c>
      <c r="AH326" s="820">
        <f t="shared" si="263"/>
        <v>0.15</v>
      </c>
      <c r="AI326" s="820">
        <f t="shared" si="263"/>
        <v>0.15</v>
      </c>
      <c r="AJ326" s="820">
        <f t="shared" si="263"/>
        <v>0.15</v>
      </c>
      <c r="AK326" s="820">
        <f t="shared" si="263"/>
        <v>0.15</v>
      </c>
      <c r="AL326" s="820">
        <f t="shared" si="263"/>
        <v>0.15</v>
      </c>
      <c r="AM326" s="820">
        <f t="shared" ref="AM326:BR326" si="264">AM236+AM294</f>
        <v>0.15</v>
      </c>
      <c r="AN326" s="820">
        <f t="shared" si="264"/>
        <v>0.15</v>
      </c>
      <c r="AO326" s="820">
        <f t="shared" si="264"/>
        <v>0.15</v>
      </c>
      <c r="AP326" s="820">
        <f t="shared" si="264"/>
        <v>0.15</v>
      </c>
      <c r="AQ326" s="820">
        <f t="shared" si="264"/>
        <v>0.15</v>
      </c>
      <c r="AR326" s="820">
        <f t="shared" si="264"/>
        <v>0.15</v>
      </c>
      <c r="AS326" s="820">
        <f t="shared" si="264"/>
        <v>0.15</v>
      </c>
      <c r="AT326" s="820">
        <f t="shared" si="264"/>
        <v>0.15</v>
      </c>
      <c r="AU326" s="820">
        <f t="shared" si="264"/>
        <v>0.15</v>
      </c>
      <c r="AV326" s="820">
        <f t="shared" si="264"/>
        <v>0.15</v>
      </c>
      <c r="AW326" s="820">
        <f t="shared" si="264"/>
        <v>0.15</v>
      </c>
      <c r="AX326" s="820">
        <f t="shared" si="264"/>
        <v>0.15</v>
      </c>
      <c r="AY326" s="820">
        <f t="shared" si="264"/>
        <v>0.15</v>
      </c>
      <c r="AZ326" s="820">
        <f t="shared" si="264"/>
        <v>0.15</v>
      </c>
      <c r="BA326" s="820">
        <f t="shared" si="264"/>
        <v>0.15</v>
      </c>
      <c r="BB326" s="820">
        <f t="shared" si="264"/>
        <v>0.15</v>
      </c>
      <c r="BC326" s="820">
        <f t="shared" si="264"/>
        <v>0.15</v>
      </c>
      <c r="BD326" s="820">
        <f t="shared" si="264"/>
        <v>0.15</v>
      </c>
      <c r="BE326" s="820">
        <f t="shared" si="264"/>
        <v>0.15</v>
      </c>
      <c r="BF326" s="820">
        <f t="shared" si="264"/>
        <v>0.15</v>
      </c>
      <c r="BG326" s="820">
        <f t="shared" si="264"/>
        <v>0.15</v>
      </c>
      <c r="BH326" s="820">
        <f t="shared" si="264"/>
        <v>0.15</v>
      </c>
      <c r="BI326" s="820">
        <f t="shared" si="264"/>
        <v>0.15</v>
      </c>
      <c r="BJ326" s="820">
        <f t="shared" si="264"/>
        <v>0.15</v>
      </c>
      <c r="BK326" s="820">
        <f t="shared" si="264"/>
        <v>0.15</v>
      </c>
      <c r="BL326" s="820">
        <f t="shared" si="264"/>
        <v>0.15</v>
      </c>
      <c r="BM326" s="820">
        <f t="shared" si="264"/>
        <v>0.15</v>
      </c>
      <c r="BN326" s="820">
        <f t="shared" si="264"/>
        <v>0.15</v>
      </c>
      <c r="BO326" s="820">
        <f t="shared" si="264"/>
        <v>0.15</v>
      </c>
      <c r="BP326" s="820">
        <f t="shared" si="264"/>
        <v>0.15</v>
      </c>
      <c r="BQ326" s="820">
        <f t="shared" si="264"/>
        <v>0.15</v>
      </c>
      <c r="BR326" s="820">
        <f t="shared" si="264"/>
        <v>0.15</v>
      </c>
      <c r="BS326" s="820">
        <f t="shared" ref="BS326:CI326" si="265">BS236+BS294</f>
        <v>0.15</v>
      </c>
      <c r="BT326" s="820">
        <f t="shared" si="265"/>
        <v>0.15</v>
      </c>
      <c r="BU326" s="820">
        <f t="shared" si="265"/>
        <v>0.15</v>
      </c>
      <c r="BV326" s="820">
        <f t="shared" si="265"/>
        <v>0.15</v>
      </c>
      <c r="BW326" s="820">
        <f t="shared" si="265"/>
        <v>0.15</v>
      </c>
      <c r="BX326" s="820">
        <f t="shared" si="265"/>
        <v>0.15</v>
      </c>
      <c r="BY326" s="820">
        <f t="shared" si="265"/>
        <v>0.15</v>
      </c>
      <c r="BZ326" s="820">
        <f t="shared" si="265"/>
        <v>0.15</v>
      </c>
      <c r="CA326" s="820">
        <f t="shared" si="265"/>
        <v>0.15</v>
      </c>
      <c r="CB326" s="820">
        <f t="shared" si="265"/>
        <v>0.15</v>
      </c>
      <c r="CC326" s="820">
        <f t="shared" si="265"/>
        <v>0.15</v>
      </c>
      <c r="CD326" s="820">
        <f t="shared" si="265"/>
        <v>0.15</v>
      </c>
      <c r="CE326" s="820">
        <f t="shared" si="265"/>
        <v>0.15</v>
      </c>
      <c r="CF326" s="820">
        <f t="shared" si="265"/>
        <v>0.15</v>
      </c>
      <c r="CG326" s="820">
        <f t="shared" si="265"/>
        <v>0.15</v>
      </c>
      <c r="CH326" s="820">
        <f t="shared" si="265"/>
        <v>0.15</v>
      </c>
      <c r="CI326" s="821">
        <f t="shared" si="265"/>
        <v>0.15</v>
      </c>
      <c r="CJ326" s="1478"/>
      <c r="CK326" s="796"/>
    </row>
    <row r="327" spans="2:89" x14ac:dyDescent="0.35">
      <c r="B327" s="1025" t="s">
        <v>594</v>
      </c>
      <c r="C327" s="986" t="s">
        <v>380</v>
      </c>
      <c r="D327" s="992" t="s">
        <v>595</v>
      </c>
      <c r="E327" s="1023" t="s">
        <v>305</v>
      </c>
      <c r="F327" s="1024">
        <v>2</v>
      </c>
      <c r="G327" s="642">
        <f t="shared" ref="G327:AL327" si="266">G237+G295</f>
        <v>0.02</v>
      </c>
      <c r="H327" s="642">
        <f t="shared" si="266"/>
        <v>0.02</v>
      </c>
      <c r="I327" s="642">
        <f t="shared" si="266"/>
        <v>0.02</v>
      </c>
      <c r="J327" s="642">
        <f t="shared" si="266"/>
        <v>0.02</v>
      </c>
      <c r="K327" s="642">
        <f t="shared" si="266"/>
        <v>0.02</v>
      </c>
      <c r="L327" s="642">
        <f t="shared" si="266"/>
        <v>0.02</v>
      </c>
      <c r="M327" s="802">
        <f t="shared" si="266"/>
        <v>0.02</v>
      </c>
      <c r="N327" s="802">
        <f t="shared" si="266"/>
        <v>0.02</v>
      </c>
      <c r="O327" s="802">
        <f t="shared" si="266"/>
        <v>0.02</v>
      </c>
      <c r="P327" s="802">
        <f t="shared" si="266"/>
        <v>0.02</v>
      </c>
      <c r="Q327" s="802">
        <f t="shared" si="266"/>
        <v>0.02</v>
      </c>
      <c r="R327" s="802">
        <f t="shared" si="266"/>
        <v>0.02</v>
      </c>
      <c r="S327" s="802">
        <f t="shared" si="266"/>
        <v>0.02</v>
      </c>
      <c r="T327" s="802">
        <f t="shared" si="266"/>
        <v>0.02</v>
      </c>
      <c r="U327" s="802">
        <f t="shared" si="266"/>
        <v>0.02</v>
      </c>
      <c r="V327" s="802">
        <f t="shared" si="266"/>
        <v>0.02</v>
      </c>
      <c r="W327" s="802">
        <f t="shared" si="266"/>
        <v>0.02</v>
      </c>
      <c r="X327" s="802">
        <f t="shared" si="266"/>
        <v>0.02</v>
      </c>
      <c r="Y327" s="802">
        <f t="shared" si="266"/>
        <v>0.02</v>
      </c>
      <c r="Z327" s="802">
        <f t="shared" si="266"/>
        <v>0.02</v>
      </c>
      <c r="AA327" s="802">
        <f t="shared" si="266"/>
        <v>0.02</v>
      </c>
      <c r="AB327" s="802">
        <f t="shared" si="266"/>
        <v>0.02</v>
      </c>
      <c r="AC327" s="802">
        <f t="shared" si="266"/>
        <v>0.02</v>
      </c>
      <c r="AD327" s="802">
        <f t="shared" si="266"/>
        <v>0.02</v>
      </c>
      <c r="AE327" s="802">
        <f t="shared" si="266"/>
        <v>0.02</v>
      </c>
      <c r="AF327" s="802">
        <f t="shared" si="266"/>
        <v>0.02</v>
      </c>
      <c r="AG327" s="802">
        <f t="shared" si="266"/>
        <v>0.02</v>
      </c>
      <c r="AH327" s="802">
        <f t="shared" si="266"/>
        <v>0.02</v>
      </c>
      <c r="AI327" s="802">
        <f t="shared" si="266"/>
        <v>0.02</v>
      </c>
      <c r="AJ327" s="802">
        <f t="shared" si="266"/>
        <v>0.02</v>
      </c>
      <c r="AK327" s="802">
        <f t="shared" si="266"/>
        <v>0.02</v>
      </c>
      <c r="AL327" s="802">
        <f t="shared" si="266"/>
        <v>0.02</v>
      </c>
      <c r="AM327" s="802">
        <f t="shared" ref="AM327:BR327" si="267">AM237+AM295</f>
        <v>0.02</v>
      </c>
      <c r="AN327" s="802">
        <f t="shared" si="267"/>
        <v>0.02</v>
      </c>
      <c r="AO327" s="802">
        <f t="shared" si="267"/>
        <v>0.02</v>
      </c>
      <c r="AP327" s="802">
        <f t="shared" si="267"/>
        <v>0.02</v>
      </c>
      <c r="AQ327" s="802">
        <f t="shared" si="267"/>
        <v>0.02</v>
      </c>
      <c r="AR327" s="802">
        <f t="shared" si="267"/>
        <v>0.02</v>
      </c>
      <c r="AS327" s="802">
        <f t="shared" si="267"/>
        <v>0.02</v>
      </c>
      <c r="AT327" s="802">
        <f t="shared" si="267"/>
        <v>0.02</v>
      </c>
      <c r="AU327" s="802">
        <f t="shared" si="267"/>
        <v>0.02</v>
      </c>
      <c r="AV327" s="802">
        <f t="shared" si="267"/>
        <v>0.02</v>
      </c>
      <c r="AW327" s="802">
        <f t="shared" si="267"/>
        <v>0.02</v>
      </c>
      <c r="AX327" s="802">
        <f t="shared" si="267"/>
        <v>0.02</v>
      </c>
      <c r="AY327" s="802">
        <f t="shared" si="267"/>
        <v>0.02</v>
      </c>
      <c r="AZ327" s="802">
        <f t="shared" si="267"/>
        <v>0.02</v>
      </c>
      <c r="BA327" s="802">
        <f t="shared" si="267"/>
        <v>0.02</v>
      </c>
      <c r="BB327" s="802">
        <f t="shared" si="267"/>
        <v>0.02</v>
      </c>
      <c r="BC327" s="802">
        <f t="shared" si="267"/>
        <v>0.02</v>
      </c>
      <c r="BD327" s="802">
        <f t="shared" si="267"/>
        <v>0.02</v>
      </c>
      <c r="BE327" s="802">
        <f t="shared" si="267"/>
        <v>0.02</v>
      </c>
      <c r="BF327" s="802">
        <f t="shared" si="267"/>
        <v>0.02</v>
      </c>
      <c r="BG327" s="802">
        <f t="shared" si="267"/>
        <v>0.02</v>
      </c>
      <c r="BH327" s="802">
        <f t="shared" si="267"/>
        <v>0.02</v>
      </c>
      <c r="BI327" s="802">
        <f t="shared" si="267"/>
        <v>0.02</v>
      </c>
      <c r="BJ327" s="802">
        <f t="shared" si="267"/>
        <v>0.02</v>
      </c>
      <c r="BK327" s="802">
        <f t="shared" si="267"/>
        <v>0.02</v>
      </c>
      <c r="BL327" s="802">
        <f t="shared" si="267"/>
        <v>0.02</v>
      </c>
      <c r="BM327" s="802">
        <f t="shared" si="267"/>
        <v>0.02</v>
      </c>
      <c r="BN327" s="802">
        <f t="shared" si="267"/>
        <v>0.02</v>
      </c>
      <c r="BO327" s="802">
        <f t="shared" si="267"/>
        <v>0.02</v>
      </c>
      <c r="BP327" s="802">
        <f t="shared" si="267"/>
        <v>0.02</v>
      </c>
      <c r="BQ327" s="802">
        <f t="shared" si="267"/>
        <v>0.02</v>
      </c>
      <c r="BR327" s="802">
        <f t="shared" si="267"/>
        <v>0.02</v>
      </c>
      <c r="BS327" s="802">
        <f t="shared" ref="BS327:CI327" si="268">BS237+BS295</f>
        <v>0.02</v>
      </c>
      <c r="BT327" s="802">
        <f t="shared" si="268"/>
        <v>0.02</v>
      </c>
      <c r="BU327" s="802">
        <f t="shared" si="268"/>
        <v>0.02</v>
      </c>
      <c r="BV327" s="802">
        <f t="shared" si="268"/>
        <v>0.02</v>
      </c>
      <c r="BW327" s="802">
        <f t="shared" si="268"/>
        <v>0.02</v>
      </c>
      <c r="BX327" s="802">
        <f t="shared" si="268"/>
        <v>0.02</v>
      </c>
      <c r="BY327" s="802">
        <f t="shared" si="268"/>
        <v>0.02</v>
      </c>
      <c r="BZ327" s="802">
        <f t="shared" si="268"/>
        <v>0.02</v>
      </c>
      <c r="CA327" s="802">
        <f t="shared" si="268"/>
        <v>0.02</v>
      </c>
      <c r="CB327" s="802">
        <f t="shared" si="268"/>
        <v>0.02</v>
      </c>
      <c r="CC327" s="802">
        <f t="shared" si="268"/>
        <v>0.02</v>
      </c>
      <c r="CD327" s="802">
        <f t="shared" si="268"/>
        <v>0.02</v>
      </c>
      <c r="CE327" s="802">
        <f t="shared" si="268"/>
        <v>0.02</v>
      </c>
      <c r="CF327" s="802">
        <f t="shared" si="268"/>
        <v>0.02</v>
      </c>
      <c r="CG327" s="802">
        <f t="shared" si="268"/>
        <v>0.02</v>
      </c>
      <c r="CH327" s="802">
        <f t="shared" si="268"/>
        <v>0.02</v>
      </c>
      <c r="CI327" s="803">
        <f t="shared" si="268"/>
        <v>0.02</v>
      </c>
      <c r="CJ327" s="1478"/>
      <c r="CK327" s="796"/>
    </row>
    <row r="328" spans="2:89" x14ac:dyDescent="0.35">
      <c r="B328" s="1025" t="s">
        <v>596</v>
      </c>
      <c r="C328" s="986" t="s">
        <v>382</v>
      </c>
      <c r="D328" s="992" t="s">
        <v>597</v>
      </c>
      <c r="E328" s="1023" t="s">
        <v>305</v>
      </c>
      <c r="F328" s="1024">
        <v>2</v>
      </c>
      <c r="G328" s="642">
        <f t="shared" ref="G328:AL328" si="269">G238+G296</f>
        <v>2.54</v>
      </c>
      <c r="H328" s="642">
        <f t="shared" si="269"/>
        <v>2.61</v>
      </c>
      <c r="I328" s="642">
        <f t="shared" si="269"/>
        <v>2.72</v>
      </c>
      <c r="J328" s="642">
        <f t="shared" si="269"/>
        <v>2.72</v>
      </c>
      <c r="K328" s="642">
        <f t="shared" si="269"/>
        <v>2.72</v>
      </c>
      <c r="L328" s="642">
        <f t="shared" si="269"/>
        <v>2.72</v>
      </c>
      <c r="M328" s="802">
        <f t="shared" si="269"/>
        <v>2.7470000000000003</v>
      </c>
      <c r="N328" s="802">
        <f t="shared" si="269"/>
        <v>2.774</v>
      </c>
      <c r="O328" s="802">
        <f t="shared" si="269"/>
        <v>2.8010000000000002</v>
      </c>
      <c r="P328" s="802">
        <f t="shared" si="269"/>
        <v>2.8280000000000003</v>
      </c>
      <c r="Q328" s="802">
        <f t="shared" si="269"/>
        <v>2.8550000000000004</v>
      </c>
      <c r="R328" s="802">
        <f t="shared" si="269"/>
        <v>2.8820000000000001</v>
      </c>
      <c r="S328" s="802">
        <f t="shared" si="269"/>
        <v>2.9090000000000003</v>
      </c>
      <c r="T328" s="802">
        <f t="shared" si="269"/>
        <v>2.9360000000000004</v>
      </c>
      <c r="U328" s="802">
        <f t="shared" si="269"/>
        <v>2.9630000000000001</v>
      </c>
      <c r="V328" s="802">
        <f t="shared" si="269"/>
        <v>2.99</v>
      </c>
      <c r="W328" s="802">
        <f t="shared" si="269"/>
        <v>2.99</v>
      </c>
      <c r="X328" s="802">
        <f t="shared" si="269"/>
        <v>2.99</v>
      </c>
      <c r="Y328" s="802">
        <f t="shared" si="269"/>
        <v>2.99</v>
      </c>
      <c r="Z328" s="802">
        <f t="shared" si="269"/>
        <v>2.99</v>
      </c>
      <c r="AA328" s="802">
        <f t="shared" si="269"/>
        <v>2.99</v>
      </c>
      <c r="AB328" s="802">
        <f t="shared" si="269"/>
        <v>2.99</v>
      </c>
      <c r="AC328" s="802">
        <f t="shared" si="269"/>
        <v>2.99</v>
      </c>
      <c r="AD328" s="802">
        <f t="shared" si="269"/>
        <v>2.99</v>
      </c>
      <c r="AE328" s="802">
        <f t="shared" si="269"/>
        <v>2.99</v>
      </c>
      <c r="AF328" s="802">
        <f t="shared" si="269"/>
        <v>2.99</v>
      </c>
      <c r="AG328" s="802">
        <f t="shared" si="269"/>
        <v>2.99</v>
      </c>
      <c r="AH328" s="802">
        <f t="shared" si="269"/>
        <v>2.99</v>
      </c>
      <c r="AI328" s="802">
        <f t="shared" si="269"/>
        <v>2.99</v>
      </c>
      <c r="AJ328" s="802">
        <f t="shared" si="269"/>
        <v>2.99</v>
      </c>
      <c r="AK328" s="802">
        <f t="shared" si="269"/>
        <v>2.99</v>
      </c>
      <c r="AL328" s="802">
        <f t="shared" si="269"/>
        <v>2.99</v>
      </c>
      <c r="AM328" s="802">
        <f t="shared" ref="AM328:BR328" si="270">AM238+AM296</f>
        <v>2.99</v>
      </c>
      <c r="AN328" s="802">
        <f t="shared" si="270"/>
        <v>2.99</v>
      </c>
      <c r="AO328" s="802">
        <f t="shared" si="270"/>
        <v>2.99</v>
      </c>
      <c r="AP328" s="802">
        <f t="shared" si="270"/>
        <v>2.99</v>
      </c>
      <c r="AQ328" s="802">
        <f t="shared" si="270"/>
        <v>2.99</v>
      </c>
      <c r="AR328" s="802">
        <f t="shared" si="270"/>
        <v>2.99</v>
      </c>
      <c r="AS328" s="802">
        <f t="shared" si="270"/>
        <v>2.99</v>
      </c>
      <c r="AT328" s="802">
        <f t="shared" si="270"/>
        <v>2.99</v>
      </c>
      <c r="AU328" s="802">
        <f t="shared" si="270"/>
        <v>2.99</v>
      </c>
      <c r="AV328" s="802">
        <f t="shared" si="270"/>
        <v>2.99</v>
      </c>
      <c r="AW328" s="802">
        <f t="shared" si="270"/>
        <v>2.99</v>
      </c>
      <c r="AX328" s="802">
        <f t="shared" si="270"/>
        <v>2.99</v>
      </c>
      <c r="AY328" s="802">
        <f t="shared" si="270"/>
        <v>2.99</v>
      </c>
      <c r="AZ328" s="802">
        <f t="shared" si="270"/>
        <v>2.99</v>
      </c>
      <c r="BA328" s="802">
        <f t="shared" si="270"/>
        <v>2.99</v>
      </c>
      <c r="BB328" s="802">
        <f t="shared" si="270"/>
        <v>2.99</v>
      </c>
      <c r="BC328" s="802">
        <f t="shared" si="270"/>
        <v>2.99</v>
      </c>
      <c r="BD328" s="802">
        <f t="shared" si="270"/>
        <v>2.99</v>
      </c>
      <c r="BE328" s="802">
        <f t="shared" si="270"/>
        <v>2.99</v>
      </c>
      <c r="BF328" s="802">
        <f t="shared" si="270"/>
        <v>2.99</v>
      </c>
      <c r="BG328" s="802">
        <f t="shared" si="270"/>
        <v>2.99</v>
      </c>
      <c r="BH328" s="802">
        <f t="shared" si="270"/>
        <v>2.99</v>
      </c>
      <c r="BI328" s="802">
        <f t="shared" si="270"/>
        <v>2.99</v>
      </c>
      <c r="BJ328" s="802">
        <f t="shared" si="270"/>
        <v>2.99</v>
      </c>
      <c r="BK328" s="802">
        <f t="shared" si="270"/>
        <v>2.99</v>
      </c>
      <c r="BL328" s="802">
        <f t="shared" si="270"/>
        <v>2.99</v>
      </c>
      <c r="BM328" s="802">
        <f t="shared" si="270"/>
        <v>2.99</v>
      </c>
      <c r="BN328" s="802">
        <f t="shared" si="270"/>
        <v>2.99</v>
      </c>
      <c r="BO328" s="802">
        <f t="shared" si="270"/>
        <v>2.99</v>
      </c>
      <c r="BP328" s="802">
        <f t="shared" si="270"/>
        <v>2.99</v>
      </c>
      <c r="BQ328" s="802">
        <f t="shared" si="270"/>
        <v>2.99</v>
      </c>
      <c r="BR328" s="802">
        <f t="shared" si="270"/>
        <v>2.99</v>
      </c>
      <c r="BS328" s="802">
        <f t="shared" ref="BS328:CI328" si="271">BS238+BS296</f>
        <v>2.99</v>
      </c>
      <c r="BT328" s="802">
        <f t="shared" si="271"/>
        <v>2.99</v>
      </c>
      <c r="BU328" s="802">
        <f t="shared" si="271"/>
        <v>2.99</v>
      </c>
      <c r="BV328" s="802">
        <f t="shared" si="271"/>
        <v>2.99</v>
      </c>
      <c r="BW328" s="802">
        <f t="shared" si="271"/>
        <v>2.99</v>
      </c>
      <c r="BX328" s="802">
        <f t="shared" si="271"/>
        <v>2.99</v>
      </c>
      <c r="BY328" s="802">
        <f t="shared" si="271"/>
        <v>2.99</v>
      </c>
      <c r="BZ328" s="802">
        <f t="shared" si="271"/>
        <v>2.99</v>
      </c>
      <c r="CA328" s="802">
        <f t="shared" si="271"/>
        <v>2.99</v>
      </c>
      <c r="CB328" s="802">
        <f t="shared" si="271"/>
        <v>2.99</v>
      </c>
      <c r="CC328" s="802">
        <f t="shared" si="271"/>
        <v>2.99</v>
      </c>
      <c r="CD328" s="802">
        <f t="shared" si="271"/>
        <v>2.99</v>
      </c>
      <c r="CE328" s="802">
        <f t="shared" si="271"/>
        <v>2.99</v>
      </c>
      <c r="CF328" s="802">
        <f t="shared" si="271"/>
        <v>2.99</v>
      </c>
      <c r="CG328" s="802">
        <f t="shared" si="271"/>
        <v>2.99</v>
      </c>
      <c r="CH328" s="802">
        <f t="shared" si="271"/>
        <v>2.99</v>
      </c>
      <c r="CI328" s="803">
        <f t="shared" si="271"/>
        <v>2.99</v>
      </c>
      <c r="CJ328" s="1478"/>
      <c r="CK328" s="796"/>
    </row>
    <row r="329" spans="2:89" x14ac:dyDescent="0.35">
      <c r="B329" s="1025" t="s">
        <v>598</v>
      </c>
      <c r="C329" s="986" t="s">
        <v>384</v>
      </c>
      <c r="D329" s="992" t="s">
        <v>599</v>
      </c>
      <c r="E329" s="1023" t="s">
        <v>305</v>
      </c>
      <c r="F329" s="1024">
        <v>2</v>
      </c>
      <c r="G329" s="642">
        <f t="shared" ref="G329:AL329" si="272">G239+G297</f>
        <v>1.25</v>
      </c>
      <c r="H329" s="642">
        <f t="shared" si="272"/>
        <v>1.22</v>
      </c>
      <c r="I329" s="642">
        <f t="shared" si="272"/>
        <v>1.2</v>
      </c>
      <c r="J329" s="642">
        <f t="shared" si="272"/>
        <v>1.2</v>
      </c>
      <c r="K329" s="642">
        <f t="shared" si="272"/>
        <v>1.2</v>
      </c>
      <c r="L329" s="642">
        <f t="shared" si="272"/>
        <v>1.2</v>
      </c>
      <c r="M329" s="802">
        <f t="shared" si="272"/>
        <v>1.131</v>
      </c>
      <c r="N329" s="802">
        <f t="shared" si="272"/>
        <v>1.0619999999999998</v>
      </c>
      <c r="O329" s="802">
        <f t="shared" si="272"/>
        <v>0.99299999999999988</v>
      </c>
      <c r="P329" s="802">
        <f t="shared" si="272"/>
        <v>0.92399999999999993</v>
      </c>
      <c r="Q329" s="802">
        <f t="shared" si="272"/>
        <v>0.85499999999999998</v>
      </c>
      <c r="R329" s="802">
        <f t="shared" si="272"/>
        <v>0.78599999999999992</v>
      </c>
      <c r="S329" s="802">
        <f t="shared" si="272"/>
        <v>0.71699999999999986</v>
      </c>
      <c r="T329" s="802">
        <f t="shared" si="272"/>
        <v>0.64799999999999991</v>
      </c>
      <c r="U329" s="802">
        <f t="shared" si="272"/>
        <v>0.57899999999999996</v>
      </c>
      <c r="V329" s="802">
        <f t="shared" si="272"/>
        <v>0.5099999999999999</v>
      </c>
      <c r="W329" s="802">
        <f t="shared" si="272"/>
        <v>0.5099999999999999</v>
      </c>
      <c r="X329" s="802">
        <f t="shared" si="272"/>
        <v>0.5099999999999999</v>
      </c>
      <c r="Y329" s="802">
        <f t="shared" si="272"/>
        <v>0.5099999999999999</v>
      </c>
      <c r="Z329" s="802">
        <f t="shared" si="272"/>
        <v>0.5099999999999999</v>
      </c>
      <c r="AA329" s="802">
        <f t="shared" si="272"/>
        <v>0.5099999999999999</v>
      </c>
      <c r="AB329" s="802">
        <f t="shared" si="272"/>
        <v>0.5099999999999999</v>
      </c>
      <c r="AC329" s="802">
        <f t="shared" si="272"/>
        <v>0.5099999999999999</v>
      </c>
      <c r="AD329" s="802">
        <f t="shared" si="272"/>
        <v>0.5099999999999999</v>
      </c>
      <c r="AE329" s="802">
        <f t="shared" si="272"/>
        <v>0.5099999999999999</v>
      </c>
      <c r="AF329" s="802">
        <f t="shared" si="272"/>
        <v>0.5099999999999999</v>
      </c>
      <c r="AG329" s="802">
        <f t="shared" si="272"/>
        <v>0.5099999999999999</v>
      </c>
      <c r="AH329" s="802">
        <f t="shared" si="272"/>
        <v>0.5099999999999999</v>
      </c>
      <c r="AI329" s="802">
        <f t="shared" si="272"/>
        <v>0.5099999999999999</v>
      </c>
      <c r="AJ329" s="802">
        <f t="shared" si="272"/>
        <v>0.5099999999999999</v>
      </c>
      <c r="AK329" s="802">
        <f t="shared" si="272"/>
        <v>0.5099999999999999</v>
      </c>
      <c r="AL329" s="802">
        <f t="shared" si="272"/>
        <v>0.5099999999999999</v>
      </c>
      <c r="AM329" s="802">
        <f t="shared" ref="AM329:BR329" si="273">AM239+AM297</f>
        <v>0.5099999999999999</v>
      </c>
      <c r="AN329" s="802">
        <f t="shared" si="273"/>
        <v>0.5099999999999999</v>
      </c>
      <c r="AO329" s="802">
        <f t="shared" si="273"/>
        <v>0.5099999999999999</v>
      </c>
      <c r="AP329" s="802">
        <f t="shared" si="273"/>
        <v>0.5099999999999999</v>
      </c>
      <c r="AQ329" s="802">
        <f t="shared" si="273"/>
        <v>0.5099999999999999</v>
      </c>
      <c r="AR329" s="802">
        <f t="shared" si="273"/>
        <v>0.5099999999999999</v>
      </c>
      <c r="AS329" s="802">
        <f t="shared" si="273"/>
        <v>0.5099999999999999</v>
      </c>
      <c r="AT329" s="802">
        <f t="shared" si="273"/>
        <v>0.5099999999999999</v>
      </c>
      <c r="AU329" s="802">
        <f t="shared" si="273"/>
        <v>0.5099999999999999</v>
      </c>
      <c r="AV329" s="802">
        <f t="shared" si="273"/>
        <v>0.5099999999999999</v>
      </c>
      <c r="AW329" s="802">
        <f t="shared" si="273"/>
        <v>0.5099999999999999</v>
      </c>
      <c r="AX329" s="802">
        <f t="shared" si="273"/>
        <v>0.5099999999999999</v>
      </c>
      <c r="AY329" s="802">
        <f t="shared" si="273"/>
        <v>0.5099999999999999</v>
      </c>
      <c r="AZ329" s="802">
        <f t="shared" si="273"/>
        <v>0.5099999999999999</v>
      </c>
      <c r="BA329" s="802">
        <f t="shared" si="273"/>
        <v>0.5099999999999999</v>
      </c>
      <c r="BB329" s="802">
        <f t="shared" si="273"/>
        <v>0.5099999999999999</v>
      </c>
      <c r="BC329" s="802">
        <f t="shared" si="273"/>
        <v>0.5099999999999999</v>
      </c>
      <c r="BD329" s="802">
        <f t="shared" si="273"/>
        <v>0.5099999999999999</v>
      </c>
      <c r="BE329" s="802">
        <f t="shared" si="273"/>
        <v>0.5099999999999999</v>
      </c>
      <c r="BF329" s="802">
        <f t="shared" si="273"/>
        <v>0.5099999999999999</v>
      </c>
      <c r="BG329" s="802">
        <f t="shared" si="273"/>
        <v>0.5099999999999999</v>
      </c>
      <c r="BH329" s="802">
        <f t="shared" si="273"/>
        <v>0.5099999999999999</v>
      </c>
      <c r="BI329" s="802">
        <f t="shared" si="273"/>
        <v>0.5099999999999999</v>
      </c>
      <c r="BJ329" s="802">
        <f t="shared" si="273"/>
        <v>0.5099999999999999</v>
      </c>
      <c r="BK329" s="802">
        <f t="shared" si="273"/>
        <v>0.5099999999999999</v>
      </c>
      <c r="BL329" s="802">
        <f t="shared" si="273"/>
        <v>0.5099999999999999</v>
      </c>
      <c r="BM329" s="802">
        <f t="shared" si="273"/>
        <v>0.5099999999999999</v>
      </c>
      <c r="BN329" s="802">
        <f t="shared" si="273"/>
        <v>0.5099999999999999</v>
      </c>
      <c r="BO329" s="802">
        <f t="shared" si="273"/>
        <v>0.5099999999999999</v>
      </c>
      <c r="BP329" s="802">
        <f t="shared" si="273"/>
        <v>0.5099999999999999</v>
      </c>
      <c r="BQ329" s="802">
        <f t="shared" si="273"/>
        <v>0.5099999999999999</v>
      </c>
      <c r="BR329" s="802">
        <f t="shared" si="273"/>
        <v>0.5099999999999999</v>
      </c>
      <c r="BS329" s="802">
        <f t="shared" ref="BS329:CI329" si="274">BS239+BS297</f>
        <v>0.5099999999999999</v>
      </c>
      <c r="BT329" s="802">
        <f t="shared" si="274"/>
        <v>0.5099999999999999</v>
      </c>
      <c r="BU329" s="802">
        <f t="shared" si="274"/>
        <v>0.5099999999999999</v>
      </c>
      <c r="BV329" s="802">
        <f t="shared" si="274"/>
        <v>0.5099999999999999</v>
      </c>
      <c r="BW329" s="802">
        <f t="shared" si="274"/>
        <v>0.5099999999999999</v>
      </c>
      <c r="BX329" s="802">
        <f t="shared" si="274"/>
        <v>0.5099999999999999</v>
      </c>
      <c r="BY329" s="802">
        <f t="shared" si="274"/>
        <v>0.5099999999999999</v>
      </c>
      <c r="BZ329" s="802">
        <f t="shared" si="274"/>
        <v>0.5099999999999999</v>
      </c>
      <c r="CA329" s="802">
        <f t="shared" si="274"/>
        <v>0.5099999999999999</v>
      </c>
      <c r="CB329" s="802">
        <f t="shared" si="274"/>
        <v>0.5099999999999999</v>
      </c>
      <c r="CC329" s="802">
        <f t="shared" si="274"/>
        <v>0.5099999999999999</v>
      </c>
      <c r="CD329" s="802">
        <f t="shared" si="274"/>
        <v>0.5099999999999999</v>
      </c>
      <c r="CE329" s="802">
        <f t="shared" si="274"/>
        <v>0.5099999999999999</v>
      </c>
      <c r="CF329" s="802">
        <f t="shared" si="274"/>
        <v>0.5099999999999999</v>
      </c>
      <c r="CG329" s="802">
        <f t="shared" si="274"/>
        <v>0.5099999999999999</v>
      </c>
      <c r="CH329" s="802">
        <f t="shared" si="274"/>
        <v>0.5099999999999999</v>
      </c>
      <c r="CI329" s="803">
        <f t="shared" si="274"/>
        <v>0.5099999999999999</v>
      </c>
      <c r="CJ329" s="1478"/>
      <c r="CK329" s="796"/>
    </row>
    <row r="330" spans="2:89" x14ac:dyDescent="0.35">
      <c r="B330" s="1025" t="s">
        <v>600</v>
      </c>
      <c r="C330" s="986" t="s">
        <v>386</v>
      </c>
      <c r="D330" s="992" t="s">
        <v>601</v>
      </c>
      <c r="E330" s="1023" t="s">
        <v>305</v>
      </c>
      <c r="F330" s="1024">
        <v>2</v>
      </c>
      <c r="G330" s="642">
        <f t="shared" ref="G330:AL330" si="275">G240+G298</f>
        <v>0.12</v>
      </c>
      <c r="H330" s="642">
        <f t="shared" si="275"/>
        <v>0.12</v>
      </c>
      <c r="I330" s="642">
        <f t="shared" si="275"/>
        <v>0.12</v>
      </c>
      <c r="J330" s="642">
        <f t="shared" si="275"/>
        <v>0.12</v>
      </c>
      <c r="K330" s="642">
        <f t="shared" si="275"/>
        <v>0.12</v>
      </c>
      <c r="L330" s="642">
        <f t="shared" si="275"/>
        <v>0.12</v>
      </c>
      <c r="M330" s="802">
        <f t="shared" si="275"/>
        <v>0.12</v>
      </c>
      <c r="N330" s="802">
        <f t="shared" si="275"/>
        <v>0.12</v>
      </c>
      <c r="O330" s="802">
        <f t="shared" si="275"/>
        <v>0.12</v>
      </c>
      <c r="P330" s="802">
        <f t="shared" si="275"/>
        <v>0.12</v>
      </c>
      <c r="Q330" s="802">
        <f t="shared" si="275"/>
        <v>0.12</v>
      </c>
      <c r="R330" s="802">
        <f t="shared" si="275"/>
        <v>0.12</v>
      </c>
      <c r="S330" s="802">
        <f t="shared" si="275"/>
        <v>0.12</v>
      </c>
      <c r="T330" s="802">
        <f t="shared" si="275"/>
        <v>0.12</v>
      </c>
      <c r="U330" s="802">
        <f t="shared" si="275"/>
        <v>0.12</v>
      </c>
      <c r="V330" s="802">
        <f t="shared" si="275"/>
        <v>0.12</v>
      </c>
      <c r="W330" s="802">
        <f t="shared" si="275"/>
        <v>0.12</v>
      </c>
      <c r="X330" s="802">
        <f t="shared" si="275"/>
        <v>0.12</v>
      </c>
      <c r="Y330" s="802">
        <f t="shared" si="275"/>
        <v>0.12</v>
      </c>
      <c r="Z330" s="802">
        <f t="shared" si="275"/>
        <v>0.12</v>
      </c>
      <c r="AA330" s="802">
        <f t="shared" si="275"/>
        <v>0.12</v>
      </c>
      <c r="AB330" s="802">
        <f t="shared" si="275"/>
        <v>0.12</v>
      </c>
      <c r="AC330" s="802">
        <f t="shared" si="275"/>
        <v>0.12</v>
      </c>
      <c r="AD330" s="802">
        <f t="shared" si="275"/>
        <v>0.12</v>
      </c>
      <c r="AE330" s="802">
        <f t="shared" si="275"/>
        <v>0.12</v>
      </c>
      <c r="AF330" s="802">
        <f t="shared" si="275"/>
        <v>0.12</v>
      </c>
      <c r="AG330" s="802">
        <f t="shared" si="275"/>
        <v>0.12</v>
      </c>
      <c r="AH330" s="802">
        <f t="shared" si="275"/>
        <v>0.12</v>
      </c>
      <c r="AI330" s="802">
        <f t="shared" si="275"/>
        <v>0.12</v>
      </c>
      <c r="AJ330" s="802">
        <f t="shared" si="275"/>
        <v>0.12</v>
      </c>
      <c r="AK330" s="802">
        <f t="shared" si="275"/>
        <v>0.12</v>
      </c>
      <c r="AL330" s="802">
        <f t="shared" si="275"/>
        <v>0.12</v>
      </c>
      <c r="AM330" s="802">
        <f t="shared" ref="AM330:BR330" si="276">AM240+AM298</f>
        <v>0.12</v>
      </c>
      <c r="AN330" s="802">
        <f t="shared" si="276"/>
        <v>0.12</v>
      </c>
      <c r="AO330" s="802">
        <f t="shared" si="276"/>
        <v>0.12</v>
      </c>
      <c r="AP330" s="802">
        <f t="shared" si="276"/>
        <v>0.12</v>
      </c>
      <c r="AQ330" s="802">
        <f t="shared" si="276"/>
        <v>0.12</v>
      </c>
      <c r="AR330" s="802">
        <f t="shared" si="276"/>
        <v>0.12</v>
      </c>
      <c r="AS330" s="802">
        <f t="shared" si="276"/>
        <v>0.12</v>
      </c>
      <c r="AT330" s="802">
        <f t="shared" si="276"/>
        <v>0.12</v>
      </c>
      <c r="AU330" s="802">
        <f t="shared" si="276"/>
        <v>0.12</v>
      </c>
      <c r="AV330" s="802">
        <f t="shared" si="276"/>
        <v>0.12</v>
      </c>
      <c r="AW330" s="802">
        <f t="shared" si="276"/>
        <v>0.12</v>
      </c>
      <c r="AX330" s="802">
        <f t="shared" si="276"/>
        <v>0.12</v>
      </c>
      <c r="AY330" s="802">
        <f t="shared" si="276"/>
        <v>0.12</v>
      </c>
      <c r="AZ330" s="802">
        <f t="shared" si="276"/>
        <v>0.12</v>
      </c>
      <c r="BA330" s="802">
        <f t="shared" si="276"/>
        <v>0.12</v>
      </c>
      <c r="BB330" s="802">
        <f t="shared" si="276"/>
        <v>0.12</v>
      </c>
      <c r="BC330" s="802">
        <f t="shared" si="276"/>
        <v>0.12</v>
      </c>
      <c r="BD330" s="802">
        <f t="shared" si="276"/>
        <v>0.12</v>
      </c>
      <c r="BE330" s="802">
        <f t="shared" si="276"/>
        <v>0.12</v>
      </c>
      <c r="BF330" s="802">
        <f t="shared" si="276"/>
        <v>0.12</v>
      </c>
      <c r="BG330" s="802">
        <f t="shared" si="276"/>
        <v>0.12</v>
      </c>
      <c r="BH330" s="802">
        <f t="shared" si="276"/>
        <v>0.12</v>
      </c>
      <c r="BI330" s="802">
        <f t="shared" si="276"/>
        <v>0.12</v>
      </c>
      <c r="BJ330" s="802">
        <f t="shared" si="276"/>
        <v>0.12</v>
      </c>
      <c r="BK330" s="802">
        <f t="shared" si="276"/>
        <v>0.12</v>
      </c>
      <c r="BL330" s="802">
        <f t="shared" si="276"/>
        <v>0.12</v>
      </c>
      <c r="BM330" s="802">
        <f t="shared" si="276"/>
        <v>0.12</v>
      </c>
      <c r="BN330" s="802">
        <f t="shared" si="276"/>
        <v>0.12</v>
      </c>
      <c r="BO330" s="802">
        <f t="shared" si="276"/>
        <v>0.12</v>
      </c>
      <c r="BP330" s="802">
        <f t="shared" si="276"/>
        <v>0.12</v>
      </c>
      <c r="BQ330" s="802">
        <f t="shared" si="276"/>
        <v>0.12</v>
      </c>
      <c r="BR330" s="802">
        <f t="shared" si="276"/>
        <v>0.12</v>
      </c>
      <c r="BS330" s="802">
        <f t="shared" ref="BS330:CI330" si="277">BS240+BS298</f>
        <v>0.12</v>
      </c>
      <c r="BT330" s="802">
        <f t="shared" si="277"/>
        <v>0.12</v>
      </c>
      <c r="BU330" s="802">
        <f t="shared" si="277"/>
        <v>0.12</v>
      </c>
      <c r="BV330" s="802">
        <f t="shared" si="277"/>
        <v>0.12</v>
      </c>
      <c r="BW330" s="802">
        <f t="shared" si="277"/>
        <v>0.12</v>
      </c>
      <c r="BX330" s="802">
        <f t="shared" si="277"/>
        <v>0.12</v>
      </c>
      <c r="BY330" s="802">
        <f t="shared" si="277"/>
        <v>0.12</v>
      </c>
      <c r="BZ330" s="802">
        <f t="shared" si="277"/>
        <v>0.12</v>
      </c>
      <c r="CA330" s="802">
        <f t="shared" si="277"/>
        <v>0.12</v>
      </c>
      <c r="CB330" s="802">
        <f t="shared" si="277"/>
        <v>0.12</v>
      </c>
      <c r="CC330" s="802">
        <f t="shared" si="277"/>
        <v>0.12</v>
      </c>
      <c r="CD330" s="802">
        <f t="shared" si="277"/>
        <v>0.12</v>
      </c>
      <c r="CE330" s="802">
        <f t="shared" si="277"/>
        <v>0.12</v>
      </c>
      <c r="CF330" s="802">
        <f t="shared" si="277"/>
        <v>0.12</v>
      </c>
      <c r="CG330" s="802">
        <f t="shared" si="277"/>
        <v>0.12</v>
      </c>
      <c r="CH330" s="802">
        <f t="shared" si="277"/>
        <v>0.12</v>
      </c>
      <c r="CI330" s="803">
        <f t="shared" si="277"/>
        <v>0.12</v>
      </c>
      <c r="CJ330" s="1478"/>
      <c r="CK330" s="796"/>
    </row>
    <row r="331" spans="2:89" x14ac:dyDescent="0.35">
      <c r="B331" s="1025" t="s">
        <v>602</v>
      </c>
      <c r="C331" s="989" t="s">
        <v>388</v>
      </c>
      <c r="D331" s="992" t="s">
        <v>603</v>
      </c>
      <c r="E331" s="1023" t="s">
        <v>305</v>
      </c>
      <c r="F331" s="1024">
        <v>2</v>
      </c>
      <c r="G331" s="642">
        <f t="shared" ref="G331:AL331" si="278">G241+G299</f>
        <v>9.41</v>
      </c>
      <c r="H331" s="642">
        <f t="shared" si="278"/>
        <v>9.3800000000000008</v>
      </c>
      <c r="I331" s="642">
        <f t="shared" si="278"/>
        <v>9.3000000000000007</v>
      </c>
      <c r="J331" s="642">
        <f t="shared" si="278"/>
        <v>9.3000000000000007</v>
      </c>
      <c r="K331" s="642">
        <f t="shared" si="278"/>
        <v>9.3000000000000007</v>
      </c>
      <c r="L331" s="642">
        <f t="shared" si="278"/>
        <v>8.99</v>
      </c>
      <c r="M331" s="802">
        <f t="shared" si="278"/>
        <v>8.5519999999999996</v>
      </c>
      <c r="N331" s="802">
        <f t="shared" si="278"/>
        <v>8.1140000000000008</v>
      </c>
      <c r="O331" s="802">
        <f t="shared" si="278"/>
        <v>7.6760000000000002</v>
      </c>
      <c r="P331" s="802">
        <f t="shared" si="278"/>
        <v>7.2380000000000004</v>
      </c>
      <c r="Q331" s="802">
        <f t="shared" si="278"/>
        <v>6.8000000000000007</v>
      </c>
      <c r="R331" s="802">
        <f t="shared" si="278"/>
        <v>6.5</v>
      </c>
      <c r="S331" s="802">
        <f t="shared" si="278"/>
        <v>6.2</v>
      </c>
      <c r="T331" s="802">
        <f t="shared" si="278"/>
        <v>5.9</v>
      </c>
      <c r="U331" s="802">
        <f t="shared" si="278"/>
        <v>5.6000000000000005</v>
      </c>
      <c r="V331" s="802">
        <f t="shared" si="278"/>
        <v>5.3</v>
      </c>
      <c r="W331" s="802">
        <f t="shared" si="278"/>
        <v>4.9420000000000002</v>
      </c>
      <c r="X331" s="802">
        <f t="shared" si="278"/>
        <v>4.5839999999999996</v>
      </c>
      <c r="Y331" s="802">
        <f t="shared" si="278"/>
        <v>4.226</v>
      </c>
      <c r="Z331" s="802">
        <f t="shared" si="278"/>
        <v>3.8680000000000003</v>
      </c>
      <c r="AA331" s="802">
        <f t="shared" si="278"/>
        <v>3.51</v>
      </c>
      <c r="AB331" s="802">
        <f t="shared" si="278"/>
        <v>3.51</v>
      </c>
      <c r="AC331" s="802">
        <f t="shared" si="278"/>
        <v>3.51</v>
      </c>
      <c r="AD331" s="802">
        <f t="shared" si="278"/>
        <v>3.51</v>
      </c>
      <c r="AE331" s="802">
        <f t="shared" si="278"/>
        <v>3.51</v>
      </c>
      <c r="AF331" s="802">
        <f t="shared" si="278"/>
        <v>3.51</v>
      </c>
      <c r="AG331" s="802">
        <f t="shared" si="278"/>
        <v>3.51</v>
      </c>
      <c r="AH331" s="802">
        <f t="shared" si="278"/>
        <v>3.51</v>
      </c>
      <c r="AI331" s="802">
        <f t="shared" si="278"/>
        <v>3.51</v>
      </c>
      <c r="AJ331" s="802">
        <f t="shared" si="278"/>
        <v>3.51</v>
      </c>
      <c r="AK331" s="802">
        <f t="shared" si="278"/>
        <v>3.51</v>
      </c>
      <c r="AL331" s="802">
        <f t="shared" si="278"/>
        <v>3.51</v>
      </c>
      <c r="AM331" s="802">
        <f t="shared" ref="AM331:BR331" si="279">AM241+AM299</f>
        <v>3.51</v>
      </c>
      <c r="AN331" s="802">
        <f t="shared" si="279"/>
        <v>3.51</v>
      </c>
      <c r="AO331" s="802">
        <f t="shared" si="279"/>
        <v>3.51</v>
      </c>
      <c r="AP331" s="802">
        <f t="shared" si="279"/>
        <v>3.51</v>
      </c>
      <c r="AQ331" s="802">
        <f t="shared" si="279"/>
        <v>3.51</v>
      </c>
      <c r="AR331" s="802">
        <f t="shared" si="279"/>
        <v>3.51</v>
      </c>
      <c r="AS331" s="802">
        <f t="shared" si="279"/>
        <v>3.51</v>
      </c>
      <c r="AT331" s="802">
        <f t="shared" si="279"/>
        <v>3.51</v>
      </c>
      <c r="AU331" s="802">
        <f t="shared" si="279"/>
        <v>3.51</v>
      </c>
      <c r="AV331" s="802">
        <f t="shared" si="279"/>
        <v>3.51</v>
      </c>
      <c r="AW331" s="802">
        <f t="shared" si="279"/>
        <v>3.51</v>
      </c>
      <c r="AX331" s="802">
        <f t="shared" si="279"/>
        <v>3.51</v>
      </c>
      <c r="AY331" s="802">
        <f t="shared" si="279"/>
        <v>3.51</v>
      </c>
      <c r="AZ331" s="802">
        <f t="shared" si="279"/>
        <v>3.51</v>
      </c>
      <c r="BA331" s="802">
        <f t="shared" si="279"/>
        <v>3.51</v>
      </c>
      <c r="BB331" s="802">
        <f t="shared" si="279"/>
        <v>3.51</v>
      </c>
      <c r="BC331" s="802">
        <f t="shared" si="279"/>
        <v>3.51</v>
      </c>
      <c r="BD331" s="802">
        <f t="shared" si="279"/>
        <v>3.51</v>
      </c>
      <c r="BE331" s="802">
        <f t="shared" si="279"/>
        <v>3.51</v>
      </c>
      <c r="BF331" s="802">
        <f t="shared" si="279"/>
        <v>3.51</v>
      </c>
      <c r="BG331" s="802">
        <f t="shared" si="279"/>
        <v>3.51</v>
      </c>
      <c r="BH331" s="802">
        <f t="shared" si="279"/>
        <v>3.51</v>
      </c>
      <c r="BI331" s="802">
        <f t="shared" si="279"/>
        <v>3.51</v>
      </c>
      <c r="BJ331" s="802">
        <f t="shared" si="279"/>
        <v>3.51</v>
      </c>
      <c r="BK331" s="802">
        <f t="shared" si="279"/>
        <v>3.51</v>
      </c>
      <c r="BL331" s="802">
        <f t="shared" si="279"/>
        <v>3.51</v>
      </c>
      <c r="BM331" s="802">
        <f t="shared" si="279"/>
        <v>3.51</v>
      </c>
      <c r="BN331" s="802">
        <f t="shared" si="279"/>
        <v>3.51</v>
      </c>
      <c r="BO331" s="802">
        <f t="shared" si="279"/>
        <v>3.51</v>
      </c>
      <c r="BP331" s="802">
        <f t="shared" si="279"/>
        <v>3.51</v>
      </c>
      <c r="BQ331" s="802">
        <f t="shared" si="279"/>
        <v>3.51</v>
      </c>
      <c r="BR331" s="802">
        <f t="shared" si="279"/>
        <v>3.51</v>
      </c>
      <c r="BS331" s="802">
        <f t="shared" ref="BS331:CI331" si="280">BS241+BS299</f>
        <v>3.51</v>
      </c>
      <c r="BT331" s="802">
        <f t="shared" si="280"/>
        <v>3.51</v>
      </c>
      <c r="BU331" s="802">
        <f t="shared" si="280"/>
        <v>3.51</v>
      </c>
      <c r="BV331" s="802">
        <f t="shared" si="280"/>
        <v>3.51</v>
      </c>
      <c r="BW331" s="802">
        <f t="shared" si="280"/>
        <v>3.51</v>
      </c>
      <c r="BX331" s="802">
        <f t="shared" si="280"/>
        <v>3.51</v>
      </c>
      <c r="BY331" s="802">
        <f t="shared" si="280"/>
        <v>3.51</v>
      </c>
      <c r="BZ331" s="802">
        <f t="shared" si="280"/>
        <v>3.51</v>
      </c>
      <c r="CA331" s="802">
        <f t="shared" si="280"/>
        <v>3.51</v>
      </c>
      <c r="CB331" s="802">
        <f t="shared" si="280"/>
        <v>3.51</v>
      </c>
      <c r="CC331" s="802">
        <f t="shared" si="280"/>
        <v>3.51</v>
      </c>
      <c r="CD331" s="802">
        <f t="shared" si="280"/>
        <v>3.51</v>
      </c>
      <c r="CE331" s="802">
        <f t="shared" si="280"/>
        <v>3.51</v>
      </c>
      <c r="CF331" s="802">
        <f t="shared" si="280"/>
        <v>3.51</v>
      </c>
      <c r="CG331" s="802">
        <f t="shared" si="280"/>
        <v>3.51</v>
      </c>
      <c r="CH331" s="802">
        <f t="shared" si="280"/>
        <v>3.51</v>
      </c>
      <c r="CI331" s="803">
        <f t="shared" si="280"/>
        <v>3.51</v>
      </c>
      <c r="CJ331" s="1478"/>
      <c r="CK331" s="796"/>
    </row>
    <row r="332" spans="2:89" x14ac:dyDescent="0.35">
      <c r="B332" s="1025" t="s">
        <v>604</v>
      </c>
      <c r="C332" s="989" t="s">
        <v>390</v>
      </c>
      <c r="D332" s="992" t="s">
        <v>605</v>
      </c>
      <c r="E332" s="1023" t="s">
        <v>305</v>
      </c>
      <c r="F332" s="1024">
        <v>2</v>
      </c>
      <c r="G332" s="642">
        <f>SUM(G326:G331)</f>
        <v>13.5</v>
      </c>
      <c r="H332" s="642">
        <f t="shared" ref="H332:BS332" si="281">SUM(H326:H331)</f>
        <v>13.5</v>
      </c>
      <c r="I332" s="642">
        <f t="shared" si="281"/>
        <v>13.510000000000002</v>
      </c>
      <c r="J332" s="642">
        <f t="shared" si="281"/>
        <v>13.510000000000002</v>
      </c>
      <c r="K332" s="642">
        <f t="shared" si="281"/>
        <v>13.510000000000002</v>
      </c>
      <c r="L332" s="642">
        <f t="shared" si="281"/>
        <v>13.2</v>
      </c>
      <c r="M332" s="802">
        <f t="shared" si="281"/>
        <v>12.719999999999999</v>
      </c>
      <c r="N332" s="802">
        <f t="shared" si="281"/>
        <v>12.240000000000002</v>
      </c>
      <c r="O332" s="802">
        <f t="shared" si="281"/>
        <v>11.76</v>
      </c>
      <c r="P332" s="802">
        <f t="shared" si="281"/>
        <v>11.280000000000001</v>
      </c>
      <c r="Q332" s="802">
        <f t="shared" si="281"/>
        <v>10.8</v>
      </c>
      <c r="R332" s="802">
        <f t="shared" si="281"/>
        <v>10.458</v>
      </c>
      <c r="S332" s="802">
        <f t="shared" si="281"/>
        <v>10.116</v>
      </c>
      <c r="T332" s="802">
        <f t="shared" si="281"/>
        <v>9.7740000000000009</v>
      </c>
      <c r="U332" s="802">
        <f t="shared" si="281"/>
        <v>9.4320000000000004</v>
      </c>
      <c r="V332" s="802">
        <f t="shared" si="281"/>
        <v>9.09</v>
      </c>
      <c r="W332" s="802">
        <f t="shared" si="281"/>
        <v>8.7319999999999993</v>
      </c>
      <c r="X332" s="802">
        <f t="shared" si="281"/>
        <v>8.3739999999999988</v>
      </c>
      <c r="Y332" s="802">
        <f t="shared" si="281"/>
        <v>8.016</v>
      </c>
      <c r="Z332" s="802">
        <f t="shared" si="281"/>
        <v>7.6580000000000004</v>
      </c>
      <c r="AA332" s="802">
        <f t="shared" si="281"/>
        <v>7.3</v>
      </c>
      <c r="AB332" s="802">
        <f t="shared" si="281"/>
        <v>7.3</v>
      </c>
      <c r="AC332" s="802">
        <f t="shared" si="281"/>
        <v>7.3</v>
      </c>
      <c r="AD332" s="802">
        <f t="shared" si="281"/>
        <v>7.3</v>
      </c>
      <c r="AE332" s="802">
        <f t="shared" si="281"/>
        <v>7.3</v>
      </c>
      <c r="AF332" s="802">
        <f t="shared" si="281"/>
        <v>7.3</v>
      </c>
      <c r="AG332" s="802">
        <f t="shared" si="281"/>
        <v>7.3</v>
      </c>
      <c r="AH332" s="802">
        <f t="shared" si="281"/>
        <v>7.3</v>
      </c>
      <c r="AI332" s="802">
        <f t="shared" si="281"/>
        <v>7.3</v>
      </c>
      <c r="AJ332" s="802">
        <f t="shared" si="281"/>
        <v>7.3</v>
      </c>
      <c r="AK332" s="802">
        <f t="shared" si="281"/>
        <v>7.3</v>
      </c>
      <c r="AL332" s="802">
        <f t="shared" si="281"/>
        <v>7.3</v>
      </c>
      <c r="AM332" s="802">
        <f t="shared" si="281"/>
        <v>7.3</v>
      </c>
      <c r="AN332" s="802">
        <f t="shared" si="281"/>
        <v>7.3</v>
      </c>
      <c r="AO332" s="802">
        <f t="shared" si="281"/>
        <v>7.3</v>
      </c>
      <c r="AP332" s="802">
        <f t="shared" si="281"/>
        <v>7.3</v>
      </c>
      <c r="AQ332" s="802">
        <f t="shared" si="281"/>
        <v>7.3</v>
      </c>
      <c r="AR332" s="802">
        <f t="shared" si="281"/>
        <v>7.3</v>
      </c>
      <c r="AS332" s="802">
        <f t="shared" si="281"/>
        <v>7.3</v>
      </c>
      <c r="AT332" s="802">
        <f t="shared" si="281"/>
        <v>7.3</v>
      </c>
      <c r="AU332" s="802">
        <f t="shared" si="281"/>
        <v>7.3</v>
      </c>
      <c r="AV332" s="802">
        <f t="shared" si="281"/>
        <v>7.3</v>
      </c>
      <c r="AW332" s="802">
        <f t="shared" si="281"/>
        <v>7.3</v>
      </c>
      <c r="AX332" s="802">
        <f t="shared" si="281"/>
        <v>7.3</v>
      </c>
      <c r="AY332" s="802">
        <f t="shared" si="281"/>
        <v>7.3</v>
      </c>
      <c r="AZ332" s="802">
        <f t="shared" si="281"/>
        <v>7.3</v>
      </c>
      <c r="BA332" s="802">
        <f t="shared" si="281"/>
        <v>7.3</v>
      </c>
      <c r="BB332" s="802">
        <f t="shared" si="281"/>
        <v>7.3</v>
      </c>
      <c r="BC332" s="802">
        <f t="shared" si="281"/>
        <v>7.3</v>
      </c>
      <c r="BD332" s="802">
        <f t="shared" si="281"/>
        <v>7.3</v>
      </c>
      <c r="BE332" s="802">
        <f t="shared" si="281"/>
        <v>7.3</v>
      </c>
      <c r="BF332" s="802">
        <f t="shared" si="281"/>
        <v>7.3</v>
      </c>
      <c r="BG332" s="802">
        <f t="shared" si="281"/>
        <v>7.3</v>
      </c>
      <c r="BH332" s="802">
        <f t="shared" si="281"/>
        <v>7.3</v>
      </c>
      <c r="BI332" s="802">
        <f t="shared" si="281"/>
        <v>7.3</v>
      </c>
      <c r="BJ332" s="802">
        <f t="shared" si="281"/>
        <v>7.3</v>
      </c>
      <c r="BK332" s="802">
        <f t="shared" si="281"/>
        <v>7.3</v>
      </c>
      <c r="BL332" s="802">
        <f t="shared" si="281"/>
        <v>7.3</v>
      </c>
      <c r="BM332" s="802">
        <f t="shared" si="281"/>
        <v>7.3</v>
      </c>
      <c r="BN332" s="802">
        <f t="shared" si="281"/>
        <v>7.3</v>
      </c>
      <c r="BO332" s="802">
        <f t="shared" si="281"/>
        <v>7.3</v>
      </c>
      <c r="BP332" s="802">
        <f t="shared" si="281"/>
        <v>7.3</v>
      </c>
      <c r="BQ332" s="802">
        <f t="shared" si="281"/>
        <v>7.3</v>
      </c>
      <c r="BR332" s="802">
        <f t="shared" si="281"/>
        <v>7.3</v>
      </c>
      <c r="BS332" s="802">
        <f t="shared" si="281"/>
        <v>7.3</v>
      </c>
      <c r="BT332" s="802">
        <f t="shared" ref="BT332:CI332" si="282">SUM(BT326:BT331)</f>
        <v>7.3</v>
      </c>
      <c r="BU332" s="802">
        <f t="shared" si="282"/>
        <v>7.3</v>
      </c>
      <c r="BV332" s="802">
        <f t="shared" si="282"/>
        <v>7.3</v>
      </c>
      <c r="BW332" s="802">
        <f t="shared" si="282"/>
        <v>7.3</v>
      </c>
      <c r="BX332" s="802">
        <f t="shared" si="282"/>
        <v>7.3</v>
      </c>
      <c r="BY332" s="802">
        <f t="shared" si="282"/>
        <v>7.3</v>
      </c>
      <c r="BZ332" s="802">
        <f t="shared" si="282"/>
        <v>7.3</v>
      </c>
      <c r="CA332" s="802">
        <f t="shared" si="282"/>
        <v>7.3</v>
      </c>
      <c r="CB332" s="802">
        <f t="shared" si="282"/>
        <v>7.3</v>
      </c>
      <c r="CC332" s="802">
        <f t="shared" si="282"/>
        <v>7.3</v>
      </c>
      <c r="CD332" s="802">
        <f t="shared" si="282"/>
        <v>7.3</v>
      </c>
      <c r="CE332" s="802">
        <f t="shared" si="282"/>
        <v>7.3</v>
      </c>
      <c r="CF332" s="802">
        <f t="shared" si="282"/>
        <v>7.3</v>
      </c>
      <c r="CG332" s="802">
        <f t="shared" si="282"/>
        <v>7.3</v>
      </c>
      <c r="CH332" s="802">
        <f t="shared" si="282"/>
        <v>7.3</v>
      </c>
      <c r="CI332" s="803">
        <f t="shared" si="282"/>
        <v>7.3</v>
      </c>
      <c r="CJ332" s="1478"/>
      <c r="CK332" s="796"/>
    </row>
    <row r="333" spans="2:89" ht="14.5" thickBot="1" x14ac:dyDescent="0.4">
      <c r="B333" s="1052" t="s">
        <v>606</v>
      </c>
      <c r="C333" s="1053" t="s">
        <v>393</v>
      </c>
      <c r="D333" s="1054" t="s">
        <v>607</v>
      </c>
      <c r="E333" s="1055" t="s">
        <v>395</v>
      </c>
      <c r="F333" s="1032">
        <v>2</v>
      </c>
      <c r="G333" s="813">
        <f>(G332*1000000)/(G347*1000)</f>
        <v>91.356337084582435</v>
      </c>
      <c r="H333" s="813">
        <f t="shared" ref="H333:BS333" si="283">(H332*1000000)/(H347*1000)</f>
        <v>92.415557851112382</v>
      </c>
      <c r="I333" s="813">
        <f t="shared" si="283"/>
        <v>91.880906202541965</v>
      </c>
      <c r="J333" s="813">
        <f t="shared" si="283"/>
        <v>89.970952742051765</v>
      </c>
      <c r="K333" s="813">
        <f t="shared" si="283"/>
        <v>88.317876267560251</v>
      </c>
      <c r="L333" s="813">
        <f t="shared" si="283"/>
        <v>84.721275820942807</v>
      </c>
      <c r="M333" s="842">
        <f t="shared" si="283"/>
        <v>80.079655374221502</v>
      </c>
      <c r="N333" s="842">
        <f t="shared" si="283"/>
        <v>75.869992346084558</v>
      </c>
      <c r="O333" s="842">
        <f t="shared" si="283"/>
        <v>71.579165009575021</v>
      </c>
      <c r="P333" s="842">
        <f t="shared" si="283"/>
        <v>67.482115218593094</v>
      </c>
      <c r="Q333" s="842">
        <f t="shared" si="283"/>
        <v>63.62137610084357</v>
      </c>
      <c r="R333" s="842">
        <f t="shared" si="283"/>
        <v>60.705196000749652</v>
      </c>
      <c r="S333" s="842">
        <f t="shared" si="283"/>
        <v>57.979503626928135</v>
      </c>
      <c r="T333" s="842">
        <f t="shared" si="283"/>
        <v>55.426033551716621</v>
      </c>
      <c r="U333" s="842">
        <f t="shared" si="283"/>
        <v>52.925445941383593</v>
      </c>
      <c r="V333" s="842">
        <f t="shared" si="283"/>
        <v>50.478391740087019</v>
      </c>
      <c r="W333" s="842">
        <f t="shared" si="283"/>
        <v>48.025093374843387</v>
      </c>
      <c r="X333" s="842">
        <f t="shared" si="283"/>
        <v>46.143142815879138</v>
      </c>
      <c r="Y333" s="842">
        <f t="shared" si="283"/>
        <v>43.643602721197006</v>
      </c>
      <c r="Z333" s="842">
        <f t="shared" si="283"/>
        <v>41.208537642663167</v>
      </c>
      <c r="AA333" s="842">
        <f t="shared" si="283"/>
        <v>38.830073127512833</v>
      </c>
      <c r="AB333" s="842">
        <f t="shared" si="283"/>
        <v>38.389039220588273</v>
      </c>
      <c r="AC333" s="842">
        <f t="shared" si="283"/>
        <v>37.968429699036115</v>
      </c>
      <c r="AD333" s="842">
        <f t="shared" si="283"/>
        <v>37.570835032843853</v>
      </c>
      <c r="AE333" s="842">
        <f t="shared" si="283"/>
        <v>37.190668439918149</v>
      </c>
      <c r="AF333" s="842">
        <f t="shared" si="283"/>
        <v>36.831543723437882</v>
      </c>
      <c r="AG333" s="842">
        <f t="shared" si="283"/>
        <v>36.488020615063228</v>
      </c>
      <c r="AH333" s="842">
        <f t="shared" si="283"/>
        <v>36.163872604886926</v>
      </c>
      <c r="AI333" s="842">
        <f t="shared" si="283"/>
        <v>35.853944191382617</v>
      </c>
      <c r="AJ333" s="842">
        <f t="shared" si="283"/>
        <v>35.561449958948636</v>
      </c>
      <c r="AK333" s="842">
        <f t="shared" si="283"/>
        <v>35.282236446476709</v>
      </c>
      <c r="AL333" s="842">
        <f t="shared" si="283"/>
        <v>35.109204002126553</v>
      </c>
      <c r="AM333" s="842">
        <f t="shared" si="283"/>
        <v>34.943105945777049</v>
      </c>
      <c r="AN333" s="842">
        <f t="shared" si="283"/>
        <v>34.783129988356556</v>
      </c>
      <c r="AO333" s="842">
        <f t="shared" si="283"/>
        <v>34.626824543899374</v>
      </c>
      <c r="AP333" s="842">
        <f t="shared" si="283"/>
        <v>34.4736365714475</v>
      </c>
      <c r="AQ333" s="842">
        <f t="shared" si="283"/>
        <v>34.31889928063778</v>
      </c>
      <c r="AR333" s="842">
        <f t="shared" si="283"/>
        <v>34.170623386716933</v>
      </c>
      <c r="AS333" s="842">
        <f t="shared" si="283"/>
        <v>34.031370284309119</v>
      </c>
      <c r="AT333" s="842">
        <f t="shared" si="283"/>
        <v>33.901299022699945</v>
      </c>
      <c r="AU333" s="842">
        <f t="shared" si="283"/>
        <v>33.771881037505707</v>
      </c>
      <c r="AV333" s="842">
        <f t="shared" si="283"/>
        <v>33.648275287621189</v>
      </c>
      <c r="AW333" s="842">
        <f t="shared" si="283"/>
        <v>33.527580096803945</v>
      </c>
      <c r="AX333" s="842">
        <f t="shared" si="283"/>
        <v>33.409914438385371</v>
      </c>
      <c r="AY333" s="842">
        <f t="shared" si="283"/>
        <v>33.290891700378189</v>
      </c>
      <c r="AZ333" s="842">
        <f t="shared" si="283"/>
        <v>33.172745765191422</v>
      </c>
      <c r="BA333" s="842">
        <f t="shared" si="283"/>
        <v>33.052595436817569</v>
      </c>
      <c r="BB333" s="842">
        <f t="shared" si="283"/>
        <v>32.935913974800492</v>
      </c>
      <c r="BC333" s="842">
        <f t="shared" si="283"/>
        <v>32.820740238815056</v>
      </c>
      <c r="BD333" s="842">
        <f t="shared" si="283"/>
        <v>32.707507963210183</v>
      </c>
      <c r="BE333" s="842">
        <f t="shared" si="283"/>
        <v>32.593551946019119</v>
      </c>
      <c r="BF333" s="842">
        <f t="shared" si="283"/>
        <v>32.480011758430464</v>
      </c>
      <c r="BG333" s="842">
        <f t="shared" si="283"/>
        <v>32.364974505624346</v>
      </c>
      <c r="BH333" s="842">
        <f t="shared" si="283"/>
        <v>32.251004109231467</v>
      </c>
      <c r="BI333" s="842">
        <f t="shared" si="283"/>
        <v>32.135974026899213</v>
      </c>
      <c r="BJ333" s="842">
        <f t="shared" si="283"/>
        <v>32.024030999094222</v>
      </c>
      <c r="BK333" s="842">
        <f t="shared" si="283"/>
        <v>31.91069354532512</v>
      </c>
      <c r="BL333" s="842">
        <f t="shared" si="283"/>
        <v>31.800644299247388</v>
      </c>
      <c r="BM333" s="842">
        <f t="shared" si="283"/>
        <v>31.689893321774868</v>
      </c>
      <c r="BN333" s="842">
        <f t="shared" si="283"/>
        <v>31.579011594370368</v>
      </c>
      <c r="BO333" s="842">
        <f t="shared" si="283"/>
        <v>31.466131818900415</v>
      </c>
      <c r="BP333" s="842">
        <f t="shared" si="283"/>
        <v>31.351411654895969</v>
      </c>
      <c r="BQ333" s="842">
        <f t="shared" si="283"/>
        <v>31.233471875653681</v>
      </c>
      <c r="BR333" s="842">
        <f t="shared" si="283"/>
        <v>31.115162441450991</v>
      </c>
      <c r="BS333" s="842">
        <f t="shared" si="283"/>
        <v>30.996079583198739</v>
      </c>
      <c r="BT333" s="842">
        <f t="shared" ref="BT333:CI333" si="284">(BT332*1000000)/(BT347*1000)</f>
        <v>30.877875492896756</v>
      </c>
      <c r="BU333" s="842">
        <f t="shared" si="284"/>
        <v>30.757515841951385</v>
      </c>
      <c r="BV333" s="842">
        <f t="shared" si="284"/>
        <v>30.63747620230324</v>
      </c>
      <c r="BW333" s="842">
        <f t="shared" si="284"/>
        <v>30.516954583362285</v>
      </c>
      <c r="BX333" s="842">
        <f t="shared" si="284"/>
        <v>30.397276267461336</v>
      </c>
      <c r="BY333" s="842">
        <f t="shared" si="284"/>
        <v>30.275635752095287</v>
      </c>
      <c r="BZ333" s="842">
        <f t="shared" si="284"/>
        <v>30.153367758939989</v>
      </c>
      <c r="CA333" s="842">
        <f t="shared" si="284"/>
        <v>30.030120307443511</v>
      </c>
      <c r="CB333" s="842">
        <f t="shared" si="284"/>
        <v>29.908365677963261</v>
      </c>
      <c r="CC333" s="842">
        <f t="shared" si="284"/>
        <v>29.787977449918184</v>
      </c>
      <c r="CD333" s="842">
        <f t="shared" si="284"/>
        <v>29.669013145822916</v>
      </c>
      <c r="CE333" s="842">
        <f t="shared" si="284"/>
        <v>29.549814568101439</v>
      </c>
      <c r="CF333" s="842">
        <f t="shared" si="284"/>
        <v>29.433270890638273</v>
      </c>
      <c r="CG333" s="842">
        <f t="shared" si="284"/>
        <v>29.318864703610153</v>
      </c>
      <c r="CH333" s="842">
        <f t="shared" si="284"/>
        <v>29.208262174321305</v>
      </c>
      <c r="CI333" s="843">
        <f t="shared" si="284"/>
        <v>29.098937491000093</v>
      </c>
      <c r="CJ333" s="1478"/>
      <c r="CK333" s="796"/>
    </row>
    <row r="334" spans="2:89" x14ac:dyDescent="0.35">
      <c r="B334" s="1033" t="s">
        <v>396</v>
      </c>
      <c r="C334" s="1034" t="s">
        <v>397</v>
      </c>
      <c r="D334" s="999" t="s">
        <v>82</v>
      </c>
      <c r="E334" s="1056" t="s">
        <v>398</v>
      </c>
      <c r="F334" s="1057">
        <v>2</v>
      </c>
      <c r="G334" s="666">
        <v>9.07</v>
      </c>
      <c r="H334" s="666">
        <v>8.1199999999999992</v>
      </c>
      <c r="I334" s="666">
        <v>8.17</v>
      </c>
      <c r="J334" s="666">
        <v>8.1999999999999993</v>
      </c>
      <c r="K334" s="666">
        <v>8.24</v>
      </c>
      <c r="L334" s="666">
        <v>8.27</v>
      </c>
      <c r="M334" s="667">
        <v>8.31</v>
      </c>
      <c r="N334" s="667">
        <v>8.34</v>
      </c>
      <c r="O334" s="667">
        <v>8.3800000000000008</v>
      </c>
      <c r="P334" s="667">
        <v>8.41</v>
      </c>
      <c r="Q334" s="667">
        <v>8.4499999999999993</v>
      </c>
      <c r="R334" s="667">
        <v>8.48</v>
      </c>
      <c r="S334" s="667">
        <v>8.52</v>
      </c>
      <c r="T334" s="667">
        <v>8.5500000000000007</v>
      </c>
      <c r="U334" s="667">
        <v>8.59</v>
      </c>
      <c r="V334" s="667">
        <v>8.6199999999999992</v>
      </c>
      <c r="W334" s="667">
        <v>8.66</v>
      </c>
      <c r="X334" s="667">
        <v>8.69</v>
      </c>
      <c r="Y334" s="667">
        <v>8.73</v>
      </c>
      <c r="Z334" s="667">
        <v>8.76</v>
      </c>
      <c r="AA334" s="667">
        <v>8.8000000000000007</v>
      </c>
      <c r="AB334" s="667">
        <v>8.83</v>
      </c>
      <c r="AC334" s="667">
        <v>8.8699999999999992</v>
      </c>
      <c r="AD334" s="667">
        <v>8.9</v>
      </c>
      <c r="AE334" s="667">
        <v>8.94</v>
      </c>
      <c r="AF334" s="667">
        <v>8.9700000000000006</v>
      </c>
      <c r="AG334" s="667">
        <v>9.01</v>
      </c>
      <c r="AH334" s="667">
        <v>9.0399999999999991</v>
      </c>
      <c r="AI334" s="667">
        <v>9.08</v>
      </c>
      <c r="AJ334" s="667">
        <v>9.11</v>
      </c>
      <c r="AK334" s="667">
        <v>9.15</v>
      </c>
      <c r="AL334" s="667">
        <v>9.18</v>
      </c>
      <c r="AM334" s="667">
        <v>9.2200000000000006</v>
      </c>
      <c r="AN334" s="667">
        <v>9.25</v>
      </c>
      <c r="AO334" s="667">
        <v>9.2899999999999991</v>
      </c>
      <c r="AP334" s="667">
        <v>9.32</v>
      </c>
      <c r="AQ334" s="667">
        <v>9.36</v>
      </c>
      <c r="AR334" s="667">
        <v>9.39</v>
      </c>
      <c r="AS334" s="667">
        <v>9.43</v>
      </c>
      <c r="AT334" s="667">
        <v>9.4600000000000009</v>
      </c>
      <c r="AU334" s="667">
        <v>9.5</v>
      </c>
      <c r="AV334" s="667">
        <v>9.5299999999999994</v>
      </c>
      <c r="AW334" s="667">
        <v>9.57</v>
      </c>
      <c r="AX334" s="667">
        <v>9.6</v>
      </c>
      <c r="AY334" s="667">
        <v>9.64</v>
      </c>
      <c r="AZ334" s="667">
        <v>9.67</v>
      </c>
      <c r="BA334" s="667">
        <v>9.7100000000000009</v>
      </c>
      <c r="BB334" s="667">
        <v>9.74</v>
      </c>
      <c r="BC334" s="667">
        <v>9.7799999999999994</v>
      </c>
      <c r="BD334" s="667">
        <v>9.81</v>
      </c>
      <c r="BE334" s="667">
        <v>9.85</v>
      </c>
      <c r="BF334" s="667">
        <v>9.8800000000000008</v>
      </c>
      <c r="BG334" s="667">
        <v>9.92</v>
      </c>
      <c r="BH334" s="667">
        <v>9.9499999999999993</v>
      </c>
      <c r="BI334" s="667">
        <v>9.99</v>
      </c>
      <c r="BJ334" s="667">
        <v>10.02</v>
      </c>
      <c r="BK334" s="667">
        <v>10.06</v>
      </c>
      <c r="BL334" s="667">
        <v>10.09</v>
      </c>
      <c r="BM334" s="667">
        <v>10.130000000000001</v>
      </c>
      <c r="BN334" s="667">
        <v>10.16</v>
      </c>
      <c r="BO334" s="667">
        <v>10.199999999999999</v>
      </c>
      <c r="BP334" s="667">
        <v>10.23</v>
      </c>
      <c r="BQ334" s="667">
        <v>10.27</v>
      </c>
      <c r="BR334" s="667">
        <v>10.3</v>
      </c>
      <c r="BS334" s="667">
        <v>10.34</v>
      </c>
      <c r="BT334" s="667">
        <v>10.37</v>
      </c>
      <c r="BU334" s="667">
        <v>10.41</v>
      </c>
      <c r="BV334" s="667">
        <v>10.44</v>
      </c>
      <c r="BW334" s="667">
        <v>10.48</v>
      </c>
      <c r="BX334" s="667">
        <v>10.51</v>
      </c>
      <c r="BY334" s="667">
        <v>10.55</v>
      </c>
      <c r="BZ334" s="667">
        <v>10.58</v>
      </c>
      <c r="CA334" s="667">
        <v>10.62</v>
      </c>
      <c r="CB334" s="667">
        <v>10.65</v>
      </c>
      <c r="CC334" s="667">
        <v>10.69</v>
      </c>
      <c r="CD334" s="667">
        <v>10.72</v>
      </c>
      <c r="CE334" s="667">
        <v>10.76</v>
      </c>
      <c r="CF334" s="667">
        <v>10.79</v>
      </c>
      <c r="CG334" s="667">
        <v>10.83</v>
      </c>
      <c r="CH334" s="667">
        <v>10.86</v>
      </c>
      <c r="CI334" s="668">
        <v>10.9</v>
      </c>
      <c r="CJ334" s="1478"/>
      <c r="CK334" s="796"/>
    </row>
    <row r="335" spans="2:89" x14ac:dyDescent="0.35">
      <c r="B335" s="1038" t="s">
        <v>399</v>
      </c>
      <c r="C335" s="1039" t="s">
        <v>400</v>
      </c>
      <c r="D335" s="1003" t="s">
        <v>82</v>
      </c>
      <c r="E335" s="1045" t="s">
        <v>398</v>
      </c>
      <c r="F335" s="1046">
        <v>2</v>
      </c>
      <c r="G335" s="670">
        <v>0.49</v>
      </c>
      <c r="H335" s="670">
        <v>0.48</v>
      </c>
      <c r="I335" s="670">
        <v>0.48</v>
      </c>
      <c r="J335" s="670">
        <v>0.47</v>
      </c>
      <c r="K335" s="670">
        <v>0.46</v>
      </c>
      <c r="L335" s="670">
        <v>0.45</v>
      </c>
      <c r="M335" s="671">
        <v>0.44</v>
      </c>
      <c r="N335" s="671">
        <v>0.43</v>
      </c>
      <c r="O335" s="671">
        <v>0.42</v>
      </c>
      <c r="P335" s="671">
        <v>0.41</v>
      </c>
      <c r="Q335" s="671">
        <v>0.4</v>
      </c>
      <c r="R335" s="671">
        <v>0.39</v>
      </c>
      <c r="S335" s="671">
        <v>0.38</v>
      </c>
      <c r="T335" s="671">
        <v>0.37</v>
      </c>
      <c r="U335" s="671">
        <v>0.36</v>
      </c>
      <c r="V335" s="671">
        <v>0.35</v>
      </c>
      <c r="W335" s="671">
        <v>0.34</v>
      </c>
      <c r="X335" s="671">
        <v>0.33</v>
      </c>
      <c r="Y335" s="671">
        <v>0.32</v>
      </c>
      <c r="Z335" s="671">
        <v>0.31</v>
      </c>
      <c r="AA335" s="671">
        <v>0.3</v>
      </c>
      <c r="AB335" s="671">
        <v>0.28999999999999998</v>
      </c>
      <c r="AC335" s="671">
        <v>0.28000000000000003</v>
      </c>
      <c r="AD335" s="671">
        <v>0.27</v>
      </c>
      <c r="AE335" s="671">
        <v>0.26</v>
      </c>
      <c r="AF335" s="671">
        <v>0.25</v>
      </c>
      <c r="AG335" s="671">
        <v>0.24</v>
      </c>
      <c r="AH335" s="671">
        <v>0.23</v>
      </c>
      <c r="AI335" s="671">
        <v>0.22</v>
      </c>
      <c r="AJ335" s="671">
        <v>0.21</v>
      </c>
      <c r="AK335" s="671">
        <v>0.2</v>
      </c>
      <c r="AL335" s="671">
        <v>0.19</v>
      </c>
      <c r="AM335" s="671">
        <v>0.18</v>
      </c>
      <c r="AN335" s="671">
        <v>0.17</v>
      </c>
      <c r="AO335" s="671">
        <v>0.16</v>
      </c>
      <c r="AP335" s="671">
        <v>0.15</v>
      </c>
      <c r="AQ335" s="671">
        <v>0.14000000000000001</v>
      </c>
      <c r="AR335" s="671">
        <v>0.13</v>
      </c>
      <c r="AS335" s="671">
        <v>0.12</v>
      </c>
      <c r="AT335" s="671">
        <v>0.11</v>
      </c>
      <c r="AU335" s="671">
        <v>0.1</v>
      </c>
      <c r="AV335" s="671">
        <v>0.09</v>
      </c>
      <c r="AW335" s="671">
        <v>0.08</v>
      </c>
      <c r="AX335" s="671">
        <v>7.0000000000000007E-2</v>
      </c>
      <c r="AY335" s="671">
        <v>0.06</v>
      </c>
      <c r="AZ335" s="671">
        <v>0.05</v>
      </c>
      <c r="BA335" s="671">
        <v>0.04</v>
      </c>
      <c r="BB335" s="671">
        <v>0.03</v>
      </c>
      <c r="BC335" s="671">
        <v>0.02</v>
      </c>
      <c r="BD335" s="671">
        <v>0.01</v>
      </c>
      <c r="BE335" s="671">
        <v>0</v>
      </c>
      <c r="BF335" s="671">
        <v>0</v>
      </c>
      <c r="BG335" s="671">
        <v>0</v>
      </c>
      <c r="BH335" s="671">
        <v>0</v>
      </c>
      <c r="BI335" s="671">
        <v>0</v>
      </c>
      <c r="BJ335" s="671">
        <v>0</v>
      </c>
      <c r="BK335" s="671">
        <v>0</v>
      </c>
      <c r="BL335" s="671">
        <v>0</v>
      </c>
      <c r="BM335" s="671">
        <v>0</v>
      </c>
      <c r="BN335" s="671">
        <v>0</v>
      </c>
      <c r="BO335" s="671">
        <v>0</v>
      </c>
      <c r="BP335" s="671">
        <v>0</v>
      </c>
      <c r="BQ335" s="671">
        <v>0</v>
      </c>
      <c r="BR335" s="671">
        <v>0</v>
      </c>
      <c r="BS335" s="671">
        <v>0</v>
      </c>
      <c r="BT335" s="671">
        <v>0</v>
      </c>
      <c r="BU335" s="671">
        <v>0</v>
      </c>
      <c r="BV335" s="671">
        <v>0</v>
      </c>
      <c r="BW335" s="671">
        <v>0</v>
      </c>
      <c r="BX335" s="671">
        <v>0</v>
      </c>
      <c r="BY335" s="671">
        <v>0</v>
      </c>
      <c r="BZ335" s="671">
        <v>0</v>
      </c>
      <c r="CA335" s="671">
        <v>0</v>
      </c>
      <c r="CB335" s="671">
        <v>0</v>
      </c>
      <c r="CC335" s="671">
        <v>0</v>
      </c>
      <c r="CD335" s="671">
        <v>0</v>
      </c>
      <c r="CE335" s="671">
        <v>0</v>
      </c>
      <c r="CF335" s="671">
        <v>0</v>
      </c>
      <c r="CG335" s="671">
        <v>0</v>
      </c>
      <c r="CH335" s="671">
        <v>0</v>
      </c>
      <c r="CI335" s="672">
        <v>0</v>
      </c>
      <c r="CJ335" s="1478"/>
      <c r="CK335" s="796"/>
    </row>
    <row r="336" spans="2:89" x14ac:dyDescent="0.35">
      <c r="B336" s="1058" t="s">
        <v>401</v>
      </c>
      <c r="C336" s="1059" t="s">
        <v>402</v>
      </c>
      <c r="D336" s="1003" t="s">
        <v>82</v>
      </c>
      <c r="E336" s="1045" t="s">
        <v>398</v>
      </c>
      <c r="F336" s="1046">
        <v>2</v>
      </c>
      <c r="G336" s="670">
        <v>0.37</v>
      </c>
      <c r="H336" s="670">
        <v>0.33</v>
      </c>
      <c r="I336" s="670">
        <v>0.31</v>
      </c>
      <c r="J336" s="670">
        <v>0.31</v>
      </c>
      <c r="K336" s="670">
        <v>0.31</v>
      </c>
      <c r="L336" s="670">
        <v>0.31</v>
      </c>
      <c r="M336" s="671">
        <v>0.31</v>
      </c>
      <c r="N336" s="671">
        <v>0.31</v>
      </c>
      <c r="O336" s="671">
        <v>0.31</v>
      </c>
      <c r="P336" s="671">
        <v>0.31</v>
      </c>
      <c r="Q336" s="671">
        <v>0.31</v>
      </c>
      <c r="R336" s="671">
        <v>0.31</v>
      </c>
      <c r="S336" s="671">
        <v>0.31</v>
      </c>
      <c r="T336" s="671">
        <v>0.31</v>
      </c>
      <c r="U336" s="671">
        <v>0.31</v>
      </c>
      <c r="V336" s="671">
        <v>0.31</v>
      </c>
      <c r="W336" s="671">
        <v>0.31</v>
      </c>
      <c r="X336" s="671">
        <v>0.31</v>
      </c>
      <c r="Y336" s="671">
        <v>0.31</v>
      </c>
      <c r="Z336" s="671">
        <v>0.31</v>
      </c>
      <c r="AA336" s="671">
        <v>0.31</v>
      </c>
      <c r="AB336" s="671">
        <v>0.31</v>
      </c>
      <c r="AC336" s="671">
        <v>0.31</v>
      </c>
      <c r="AD336" s="671">
        <v>0.31</v>
      </c>
      <c r="AE336" s="671">
        <v>0.31</v>
      </c>
      <c r="AF336" s="671">
        <v>0.31</v>
      </c>
      <c r="AG336" s="671">
        <v>0.31</v>
      </c>
      <c r="AH336" s="671">
        <v>0.31</v>
      </c>
      <c r="AI336" s="671">
        <v>0.31</v>
      </c>
      <c r="AJ336" s="671">
        <v>0.31</v>
      </c>
      <c r="AK336" s="671">
        <v>0.31</v>
      </c>
      <c r="AL336" s="671">
        <v>0.31</v>
      </c>
      <c r="AM336" s="671">
        <v>0.31</v>
      </c>
      <c r="AN336" s="671">
        <v>0.31</v>
      </c>
      <c r="AO336" s="671">
        <v>0.31</v>
      </c>
      <c r="AP336" s="671">
        <v>0.31</v>
      </c>
      <c r="AQ336" s="671">
        <v>0.31</v>
      </c>
      <c r="AR336" s="671">
        <v>0.31</v>
      </c>
      <c r="AS336" s="671">
        <v>0.31</v>
      </c>
      <c r="AT336" s="671">
        <v>0.31</v>
      </c>
      <c r="AU336" s="671">
        <v>0.31</v>
      </c>
      <c r="AV336" s="671">
        <v>0.31</v>
      </c>
      <c r="AW336" s="671">
        <v>0.31</v>
      </c>
      <c r="AX336" s="671">
        <v>0.31</v>
      </c>
      <c r="AY336" s="671">
        <v>0.31</v>
      </c>
      <c r="AZ336" s="671">
        <v>0.31</v>
      </c>
      <c r="BA336" s="671">
        <v>0.31</v>
      </c>
      <c r="BB336" s="671">
        <v>0.31</v>
      </c>
      <c r="BC336" s="671">
        <v>0.31</v>
      </c>
      <c r="BD336" s="671">
        <v>0.31</v>
      </c>
      <c r="BE336" s="671">
        <v>0.31</v>
      </c>
      <c r="BF336" s="671">
        <v>0.31</v>
      </c>
      <c r="BG336" s="671">
        <v>0.31</v>
      </c>
      <c r="BH336" s="671">
        <v>0.31</v>
      </c>
      <c r="BI336" s="671">
        <v>0.31</v>
      </c>
      <c r="BJ336" s="671">
        <v>0.31</v>
      </c>
      <c r="BK336" s="671">
        <v>0.31</v>
      </c>
      <c r="BL336" s="671">
        <v>0.31</v>
      </c>
      <c r="BM336" s="671">
        <v>0.31</v>
      </c>
      <c r="BN336" s="671">
        <v>0.31</v>
      </c>
      <c r="BO336" s="671">
        <v>0.31</v>
      </c>
      <c r="BP336" s="671">
        <v>0.31</v>
      </c>
      <c r="BQ336" s="671">
        <v>0.31</v>
      </c>
      <c r="BR336" s="671">
        <v>0.31</v>
      </c>
      <c r="BS336" s="671">
        <v>0.31</v>
      </c>
      <c r="BT336" s="671">
        <v>0.31</v>
      </c>
      <c r="BU336" s="671">
        <v>0.31</v>
      </c>
      <c r="BV336" s="671">
        <v>0.31</v>
      </c>
      <c r="BW336" s="671">
        <v>0.31</v>
      </c>
      <c r="BX336" s="671">
        <v>0.31</v>
      </c>
      <c r="BY336" s="671">
        <v>0.31</v>
      </c>
      <c r="BZ336" s="671">
        <v>0.31</v>
      </c>
      <c r="CA336" s="671">
        <v>0.31</v>
      </c>
      <c r="CB336" s="671">
        <v>0.31</v>
      </c>
      <c r="CC336" s="671">
        <v>0.31</v>
      </c>
      <c r="CD336" s="671">
        <v>0.31</v>
      </c>
      <c r="CE336" s="671">
        <v>0.31</v>
      </c>
      <c r="CF336" s="671">
        <v>0.31</v>
      </c>
      <c r="CG336" s="671">
        <v>0.31</v>
      </c>
      <c r="CH336" s="671">
        <v>0.31</v>
      </c>
      <c r="CI336" s="672">
        <v>0.31</v>
      </c>
      <c r="CJ336" s="1478"/>
      <c r="CK336" s="796"/>
    </row>
    <row r="337" spans="2:89" x14ac:dyDescent="0.35">
      <c r="B337" s="1058" t="s">
        <v>608</v>
      </c>
      <c r="C337" s="1059" t="s">
        <v>404</v>
      </c>
      <c r="D337" s="675" t="s">
        <v>405</v>
      </c>
      <c r="E337" s="676" t="s">
        <v>398</v>
      </c>
      <c r="F337" s="677">
        <v>2</v>
      </c>
      <c r="G337" s="670">
        <v>100.11</v>
      </c>
      <c r="H337" s="670">
        <v>100.11</v>
      </c>
      <c r="I337" s="670">
        <v>101.199</v>
      </c>
      <c r="J337" s="670">
        <v>105.0412953</v>
      </c>
      <c r="K337" s="670">
        <v>108.548079</v>
      </c>
      <c r="L337" s="670">
        <v>112.0755468</v>
      </c>
      <c r="M337" s="623">
        <v>117.71999278416666</v>
      </c>
      <c r="N337" s="623">
        <v>122.82437770833333</v>
      </c>
      <c r="O337" s="623">
        <v>128.39701385250001</v>
      </c>
      <c r="P337" s="623">
        <v>133.87641900666668</v>
      </c>
      <c r="Q337" s="623">
        <v>139.08290711083333</v>
      </c>
      <c r="R337" s="623">
        <v>144.22146742500001</v>
      </c>
      <c r="S337" s="623">
        <v>149.02933676916669</v>
      </c>
      <c r="T337" s="623">
        <v>153.51463489333335</v>
      </c>
      <c r="U337" s="623">
        <v>157.99208472750001</v>
      </c>
      <c r="V337" s="623">
        <v>162.47380712166668</v>
      </c>
      <c r="W337" s="623">
        <v>166.82599151583335</v>
      </c>
      <c r="X337" s="623">
        <v>169.10075261583336</v>
      </c>
      <c r="Y337" s="623">
        <v>171.26153001583333</v>
      </c>
      <c r="Z337" s="623">
        <v>173.40727681583337</v>
      </c>
      <c r="AA337" s="623">
        <v>175.54061581583335</v>
      </c>
      <c r="AB337" s="623">
        <v>177.68044491583333</v>
      </c>
      <c r="AC337" s="623">
        <v>179.75699641583336</v>
      </c>
      <c r="AD337" s="623">
        <v>181.77164741583334</v>
      </c>
      <c r="AE337" s="623">
        <v>183.72779711583337</v>
      </c>
      <c r="AF337" s="623">
        <v>185.62167511583337</v>
      </c>
      <c r="AG337" s="623">
        <v>187.45766201583336</v>
      </c>
      <c r="AH337" s="623">
        <v>189.23091261583335</v>
      </c>
      <c r="AI337" s="623">
        <v>190.94582001583333</v>
      </c>
      <c r="AJ337" s="623">
        <v>192.60046891583335</v>
      </c>
      <c r="AK337" s="623">
        <v>194.19498391583335</v>
      </c>
      <c r="AL337" s="623">
        <v>195.19468601583335</v>
      </c>
      <c r="AM337" s="623">
        <v>196.15302271583334</v>
      </c>
      <c r="AN337" s="623">
        <v>197.09385461583335</v>
      </c>
      <c r="AO337" s="623">
        <v>198.01121591583336</v>
      </c>
      <c r="AP337" s="623">
        <v>198.92801781583333</v>
      </c>
      <c r="AQ337" s="623">
        <v>199.85278481583336</v>
      </c>
      <c r="AR337" s="623">
        <v>200.75579641583337</v>
      </c>
      <c r="AS337" s="623">
        <v>201.59996541583337</v>
      </c>
      <c r="AT337" s="623">
        <v>202.40298171583333</v>
      </c>
      <c r="AU337" s="623">
        <v>203.19815641583335</v>
      </c>
      <c r="AV337" s="623">
        <v>203.97219841583336</v>
      </c>
      <c r="AW337" s="623">
        <v>204.72319261583334</v>
      </c>
      <c r="AX337" s="623">
        <v>205.47001541583333</v>
      </c>
      <c r="AY337" s="623">
        <v>206.22119701583335</v>
      </c>
      <c r="AZ337" s="623">
        <v>206.98216781583338</v>
      </c>
      <c r="BA337" s="623">
        <v>207.75211411583334</v>
      </c>
      <c r="BB337" s="623">
        <v>208.51455121583336</v>
      </c>
      <c r="BC337" s="623">
        <v>209.26233381583336</v>
      </c>
      <c r="BD337" s="623">
        <v>210.01234541583335</v>
      </c>
      <c r="BE337" s="623">
        <v>210.76268021583334</v>
      </c>
      <c r="BF337" s="623">
        <v>211.51561321583335</v>
      </c>
      <c r="BG337" s="623">
        <v>212.27447181583335</v>
      </c>
      <c r="BH337" s="623">
        <v>213.04154171583335</v>
      </c>
      <c r="BI337" s="623">
        <v>213.81175541583337</v>
      </c>
      <c r="BJ337" s="623">
        <v>214.57581381583336</v>
      </c>
      <c r="BK337" s="623">
        <v>215.34543911583336</v>
      </c>
      <c r="BL337" s="623">
        <v>216.10709741583335</v>
      </c>
      <c r="BM337" s="623">
        <v>216.86935481583333</v>
      </c>
      <c r="BN337" s="623">
        <v>217.64819651583335</v>
      </c>
      <c r="BO337" s="623">
        <v>218.43746871583338</v>
      </c>
      <c r="BP337" s="623">
        <v>219.25637971583336</v>
      </c>
      <c r="BQ337" s="623">
        <v>220.09561641583335</v>
      </c>
      <c r="BR337" s="623">
        <v>220.95430561583336</v>
      </c>
      <c r="BS337" s="623">
        <v>221.81565521583335</v>
      </c>
      <c r="BT337" s="623">
        <v>222.68722881583335</v>
      </c>
      <c r="BU337" s="623">
        <v>223.57236381583337</v>
      </c>
      <c r="BV337" s="623">
        <v>224.47227891583336</v>
      </c>
      <c r="BW337" s="623">
        <v>225.37328761583336</v>
      </c>
      <c r="BX337" s="623">
        <v>226.28509581583336</v>
      </c>
      <c r="BY337" s="623">
        <v>227.20997551583335</v>
      </c>
      <c r="BZ337" s="623">
        <v>228.15767761583336</v>
      </c>
      <c r="CA337" s="623">
        <v>229.11126921583335</v>
      </c>
      <c r="CB337" s="623">
        <v>230.07086671583335</v>
      </c>
      <c r="CC337" s="623">
        <v>231.01731241583337</v>
      </c>
      <c r="CD337" s="623">
        <v>231.96995461583336</v>
      </c>
      <c r="CE337" s="623">
        <v>232.92246731583336</v>
      </c>
      <c r="CF337" s="623">
        <v>233.87064621583335</v>
      </c>
      <c r="CG337" s="623">
        <v>234.79844861583334</v>
      </c>
      <c r="CH337" s="623">
        <v>235.71128221583336</v>
      </c>
      <c r="CI337" s="619">
        <v>236.61026631583337</v>
      </c>
      <c r="CJ337" s="1478"/>
      <c r="CK337" s="796"/>
    </row>
    <row r="338" spans="2:89" x14ac:dyDescent="0.35">
      <c r="B338" s="1058" t="s">
        <v>406</v>
      </c>
      <c r="C338" s="1059" t="s">
        <v>407</v>
      </c>
      <c r="D338" s="675" t="s">
        <v>408</v>
      </c>
      <c r="E338" s="676" t="s">
        <v>398</v>
      </c>
      <c r="F338" s="677">
        <v>2</v>
      </c>
      <c r="G338" s="670"/>
      <c r="H338" s="670"/>
      <c r="I338" s="670"/>
      <c r="J338" s="670">
        <v>3.1014080630000009</v>
      </c>
      <c r="K338" s="670">
        <v>2.7805890369999995</v>
      </c>
      <c r="L338" s="670">
        <v>2.8148553790000008</v>
      </c>
      <c r="M338" s="671">
        <v>3.0068233139999982</v>
      </c>
      <c r="N338" s="671">
        <v>2.4667621400000019</v>
      </c>
      <c r="O338" s="671">
        <v>2.9350135399999964</v>
      </c>
      <c r="P338" s="671">
        <v>2.8417823999999996</v>
      </c>
      <c r="Q338" s="671">
        <v>2.5688654600000014</v>
      </c>
      <c r="R338" s="671">
        <v>2.5009376300000028</v>
      </c>
      <c r="S338" s="671">
        <v>2.1702466200000003</v>
      </c>
      <c r="T338" s="671">
        <v>1.8476754199999981</v>
      </c>
      <c r="U338" s="671">
        <v>1.8398271700000031</v>
      </c>
      <c r="V338" s="671">
        <v>1.8440996299999988</v>
      </c>
      <c r="W338" s="671">
        <v>1.7145616899999965</v>
      </c>
      <c r="X338" s="671">
        <v>1.677992230000001</v>
      </c>
      <c r="Y338" s="671">
        <v>1.5803659700000026</v>
      </c>
      <c r="Z338" s="671">
        <v>1.5810663599999941</v>
      </c>
      <c r="AA338" s="671">
        <v>1.5837961800000073</v>
      </c>
      <c r="AB338" s="671">
        <v>1.6048615899999987</v>
      </c>
      <c r="AC338" s="671">
        <v>1.5556258800000009</v>
      </c>
      <c r="AD338" s="671">
        <v>1.5072606199999967</v>
      </c>
      <c r="AE338" s="671">
        <v>1.4618129599999961</v>
      </c>
      <c r="AF338" s="671">
        <v>1.4121366500000008</v>
      </c>
      <c r="AG338" s="671">
        <v>1.3664044300000029</v>
      </c>
      <c r="AH338" s="671">
        <v>1.3154111799999981</v>
      </c>
      <c r="AI338" s="671">
        <v>1.2683669100000046</v>
      </c>
      <c r="AJ338" s="671">
        <v>1.2191283599999991</v>
      </c>
      <c r="AK338" s="671">
        <v>1.169742620000001</v>
      </c>
      <c r="AL338" s="671">
        <v>0.58541251999999844</v>
      </c>
      <c r="AM338" s="671">
        <v>0.55427120999999602</v>
      </c>
      <c r="AN338" s="671">
        <v>0.5467382900000004</v>
      </c>
      <c r="AO338" s="671">
        <v>0.53299341000000311</v>
      </c>
      <c r="AP338" s="671">
        <v>0.54191971000000194</v>
      </c>
      <c r="AQ338" s="671">
        <v>0.5591364499999969</v>
      </c>
      <c r="AR338" s="671">
        <v>0.54640434000000226</v>
      </c>
      <c r="AS338" s="671">
        <v>0.49636224999999712</v>
      </c>
      <c r="AT338" s="671">
        <v>0.46379312000000539</v>
      </c>
      <c r="AU338" s="671">
        <v>0.46432299999999316</v>
      </c>
      <c r="AV338" s="671">
        <v>0.45135539000000335</v>
      </c>
      <c r="AW338" s="671">
        <v>0.43627099000000413</v>
      </c>
      <c r="AX338" s="671">
        <v>0.43986660999999572</v>
      </c>
      <c r="AY338" s="671">
        <v>0.45180075999999758</v>
      </c>
      <c r="AZ338" s="671">
        <v>0.46897824000000554</v>
      </c>
      <c r="BA338" s="671">
        <v>0.4851596700000016</v>
      </c>
      <c r="BB338" s="671">
        <v>0.48467875000000049</v>
      </c>
      <c r="BC338" s="671">
        <v>0.47687892000000431</v>
      </c>
      <c r="BD338" s="671">
        <v>0.4857934399999948</v>
      </c>
      <c r="BE338" s="671">
        <v>0.49263732000000005</v>
      </c>
      <c r="BF338" s="671">
        <v>0.50159499999999468</v>
      </c>
      <c r="BG338" s="671">
        <v>0.51372343999999259</v>
      </c>
      <c r="BH338" s="671">
        <v>0.52798434000001748</v>
      </c>
      <c r="BI338" s="671">
        <v>0.53702838999998903</v>
      </c>
      <c r="BJ338" s="671">
        <v>0.53662792000000081</v>
      </c>
      <c r="BK338" s="671">
        <v>0.54780737999999474</v>
      </c>
      <c r="BL338" s="671">
        <v>0.54531468999999788</v>
      </c>
      <c r="BM338" s="671">
        <v>0.55125275000000329</v>
      </c>
      <c r="BN338" s="671">
        <v>0.57304451000000256</v>
      </c>
      <c r="BO338" s="671">
        <v>0.58855366999999603</v>
      </c>
      <c r="BP338" s="671">
        <v>0.62314611000000752</v>
      </c>
      <c r="BQ338" s="671">
        <v>0.64830288999999652</v>
      </c>
      <c r="BR338" s="671">
        <v>0.67246751999999788</v>
      </c>
      <c r="BS338" s="671">
        <v>0.67972351000000231</v>
      </c>
      <c r="BT338" s="671">
        <v>0.69442989000000921</v>
      </c>
      <c r="BU338" s="671">
        <v>0.71236294999998506</v>
      </c>
      <c r="BV338" s="671">
        <v>0.73140689000000236</v>
      </c>
      <c r="BW338" s="671">
        <v>0.73665895000000603</v>
      </c>
      <c r="BX338" s="671">
        <v>0.75151448000001153</v>
      </c>
      <c r="BY338" s="671">
        <v>0.7685417399999892</v>
      </c>
      <c r="BZ338" s="671">
        <v>0.79522249999999417</v>
      </c>
      <c r="CA338" s="671">
        <v>0.80487492000000316</v>
      </c>
      <c r="CB338" s="671">
        <v>0.81455087999999876</v>
      </c>
      <c r="CC338" s="671">
        <v>0.80497871000000032</v>
      </c>
      <c r="CD338" s="671">
        <v>0.81466644000001054</v>
      </c>
      <c r="CE338" s="671">
        <v>0.81794206999998664</v>
      </c>
      <c r="CF338" s="671">
        <v>0.81692920000000413</v>
      </c>
      <c r="CG338" s="671">
        <v>0.79979182000001003</v>
      </c>
      <c r="CH338" s="671">
        <v>0.78798218999999392</v>
      </c>
      <c r="CI338" s="672">
        <v>0.77721375999999509</v>
      </c>
      <c r="CJ338" s="1478"/>
      <c r="CK338" s="796"/>
    </row>
    <row r="339" spans="2:89" x14ac:dyDescent="0.35">
      <c r="B339" s="1058" t="s">
        <v>409</v>
      </c>
      <c r="C339" s="1059" t="s">
        <v>410</v>
      </c>
      <c r="D339" s="675" t="s">
        <v>411</v>
      </c>
      <c r="E339" s="676" t="s">
        <v>398</v>
      </c>
      <c r="F339" s="677">
        <v>2</v>
      </c>
      <c r="G339" s="670"/>
      <c r="H339" s="670"/>
      <c r="I339" s="670"/>
      <c r="J339" s="670">
        <v>0.74088723700000259</v>
      </c>
      <c r="K339" s="670">
        <v>0.72619466300000024</v>
      </c>
      <c r="L339" s="670">
        <v>0.71261242099999578</v>
      </c>
      <c r="M339" s="671">
        <v>0.70161788599999753</v>
      </c>
      <c r="N339" s="671">
        <v>0.68948285999999648</v>
      </c>
      <c r="O339" s="671">
        <v>0.67521956000001992</v>
      </c>
      <c r="P339" s="671">
        <v>0.66614769999999623</v>
      </c>
      <c r="Q339" s="671">
        <v>0.65800903999997828</v>
      </c>
      <c r="R339" s="671">
        <v>0.65079037000001705</v>
      </c>
      <c r="S339" s="671">
        <v>0.64448598000001311</v>
      </c>
      <c r="T339" s="671">
        <v>0.63909898000000354</v>
      </c>
      <c r="U339" s="671">
        <v>0.63180512999997873</v>
      </c>
      <c r="V339" s="671">
        <v>0.62240987000000203</v>
      </c>
      <c r="W339" s="671">
        <v>0.61076180999999963</v>
      </c>
      <c r="X339" s="671">
        <v>0.59676887000000534</v>
      </c>
      <c r="Y339" s="671">
        <v>0.58041142999996964</v>
      </c>
      <c r="Z339" s="671">
        <v>0.56468044000004625</v>
      </c>
      <c r="AA339" s="671">
        <v>0.54954281999997079</v>
      </c>
      <c r="AB339" s="671">
        <v>0.5349675099999871</v>
      </c>
      <c r="AC339" s="671">
        <v>0.52092562000002118</v>
      </c>
      <c r="AD339" s="671">
        <v>0.5073903799999897</v>
      </c>
      <c r="AE339" s="671">
        <v>0.49433674000002981</v>
      </c>
      <c r="AF339" s="671">
        <v>0.48174135000000007</v>
      </c>
      <c r="AG339" s="671">
        <v>0.46958246999999176</v>
      </c>
      <c r="AH339" s="671">
        <v>0.4578394199999849</v>
      </c>
      <c r="AI339" s="671">
        <v>0.44654048999998253</v>
      </c>
      <c r="AJ339" s="671">
        <v>0.43552054000001306</v>
      </c>
      <c r="AK339" s="671">
        <v>0.42477238000000028</v>
      </c>
      <c r="AL339" s="671">
        <v>0.41428958000000904</v>
      </c>
      <c r="AM339" s="671">
        <v>0.40406548999999359</v>
      </c>
      <c r="AN339" s="671">
        <v>0.39409361000000587</v>
      </c>
      <c r="AO339" s="671">
        <v>0.38436789000000715</v>
      </c>
      <c r="AP339" s="671">
        <v>0.37488218999996548</v>
      </c>
      <c r="AQ339" s="671">
        <v>0.3656305500000343</v>
      </c>
      <c r="AR339" s="671">
        <v>0.35660726000001119</v>
      </c>
      <c r="AS339" s="671">
        <v>0.34780674999999661</v>
      </c>
      <c r="AT339" s="671">
        <v>0.3392231799999621</v>
      </c>
      <c r="AU339" s="671">
        <v>0.33085170000002506</v>
      </c>
      <c r="AV339" s="671">
        <v>0.3226866100000052</v>
      </c>
      <c r="AW339" s="671">
        <v>0.3147232099999755</v>
      </c>
      <c r="AX339" s="671">
        <v>0.30695618999999397</v>
      </c>
      <c r="AY339" s="671">
        <v>0.29938084000002618</v>
      </c>
      <c r="AZ339" s="671">
        <v>0.29199256000001839</v>
      </c>
      <c r="BA339" s="671">
        <v>0.28478662999995663</v>
      </c>
      <c r="BB339" s="671">
        <v>0.27775835000002758</v>
      </c>
      <c r="BC339" s="671">
        <v>0.27090367999998932</v>
      </c>
      <c r="BD339" s="671">
        <v>0.26421815999999865</v>
      </c>
      <c r="BE339" s="671">
        <v>0.25769747999999026</v>
      </c>
      <c r="BF339" s="671">
        <v>0.25133800000001827</v>
      </c>
      <c r="BG339" s="671">
        <v>0.24513516000000379</v>
      </c>
      <c r="BH339" s="671">
        <v>0.23908555999997816</v>
      </c>
      <c r="BI339" s="671">
        <v>0.23318531000003873</v>
      </c>
      <c r="BJ339" s="671">
        <v>0.22743047999998112</v>
      </c>
      <c r="BK339" s="671">
        <v>0.22181792000000655</v>
      </c>
      <c r="BL339" s="671">
        <v>0.21634360999999558</v>
      </c>
      <c r="BM339" s="671">
        <v>0.21100464999997826</v>
      </c>
      <c r="BN339" s="671">
        <v>0.20579719000001262</v>
      </c>
      <c r="BO339" s="671">
        <v>0.20071853000003159</v>
      </c>
      <c r="BP339" s="671">
        <v>0.19576488999997821</v>
      </c>
      <c r="BQ339" s="671">
        <v>0.19093380999998999</v>
      </c>
      <c r="BR339" s="671">
        <v>0.18622168000001693</v>
      </c>
      <c r="BS339" s="671">
        <v>0.18162608999998042</v>
      </c>
      <c r="BT339" s="671">
        <v>0.17714370999999574</v>
      </c>
      <c r="BU339" s="671">
        <v>0.17277205000003448</v>
      </c>
      <c r="BV339" s="671">
        <v>0.16850820999998462</v>
      </c>
      <c r="BW339" s="671">
        <v>0.16434974999999952</v>
      </c>
      <c r="BX339" s="671">
        <v>0.16029371999998432</v>
      </c>
      <c r="BY339" s="671">
        <v>0.15633796000000189</v>
      </c>
      <c r="BZ339" s="671">
        <v>0.15247960000002081</v>
      </c>
      <c r="CA339" s="671">
        <v>0.1487166799999784</v>
      </c>
      <c r="CB339" s="671">
        <v>0.14504662000000224</v>
      </c>
      <c r="CC339" s="671">
        <v>0.14146699000002627</v>
      </c>
      <c r="CD339" s="671">
        <v>0.13797575999997491</v>
      </c>
      <c r="CE339" s="671">
        <v>0.13457063000001313</v>
      </c>
      <c r="CF339" s="671">
        <v>0.1312496999999837</v>
      </c>
      <c r="CG339" s="671">
        <v>0.12801057999998022</v>
      </c>
      <c r="CH339" s="671">
        <v>0.12485141000003352</v>
      </c>
      <c r="CI339" s="672">
        <v>0.12177034000001186</v>
      </c>
      <c r="CJ339" s="1478"/>
      <c r="CK339" s="796"/>
    </row>
    <row r="340" spans="2:89" x14ac:dyDescent="0.35">
      <c r="B340" s="1058" t="s">
        <v>412</v>
      </c>
      <c r="C340" s="1059" t="s">
        <v>413</v>
      </c>
      <c r="D340" s="675" t="s">
        <v>414</v>
      </c>
      <c r="E340" s="676" t="s">
        <v>398</v>
      </c>
      <c r="F340" s="677">
        <v>2</v>
      </c>
      <c r="G340" s="670">
        <v>0</v>
      </c>
      <c r="H340" s="670">
        <v>0</v>
      </c>
      <c r="I340" s="670">
        <v>0</v>
      </c>
      <c r="J340" s="670">
        <v>0</v>
      </c>
      <c r="K340" s="670">
        <v>0</v>
      </c>
      <c r="L340" s="670">
        <v>0</v>
      </c>
      <c r="M340" s="671">
        <v>1.9360047841666699</v>
      </c>
      <c r="N340" s="671">
        <v>1.9481399241666679</v>
      </c>
      <c r="O340" s="671">
        <v>1.9624030441666669</v>
      </c>
      <c r="P340" s="671">
        <v>1.9714750541666746</v>
      </c>
      <c r="Q340" s="671">
        <v>1.9796136041666657</v>
      </c>
      <c r="R340" s="671">
        <v>1.9868323141666764</v>
      </c>
      <c r="S340" s="671">
        <v>1.9931367441666659</v>
      </c>
      <c r="T340" s="671">
        <v>1.9985237241666702</v>
      </c>
      <c r="U340" s="671">
        <v>2.0058175341666704</v>
      </c>
      <c r="V340" s="671">
        <v>2.015212894166666</v>
      </c>
      <c r="W340" s="671">
        <v>2.0268608941666706</v>
      </c>
      <c r="X340" s="671">
        <v>0</v>
      </c>
      <c r="Y340" s="671">
        <v>0</v>
      </c>
      <c r="Z340" s="671">
        <v>0</v>
      </c>
      <c r="AA340" s="671">
        <v>0</v>
      </c>
      <c r="AB340" s="671">
        <v>0</v>
      </c>
      <c r="AC340" s="671">
        <v>0</v>
      </c>
      <c r="AD340" s="671">
        <v>0</v>
      </c>
      <c r="AE340" s="671">
        <v>0</v>
      </c>
      <c r="AF340" s="671">
        <v>0</v>
      </c>
      <c r="AG340" s="671">
        <v>0</v>
      </c>
      <c r="AH340" s="671">
        <v>0</v>
      </c>
      <c r="AI340" s="671">
        <v>0</v>
      </c>
      <c r="AJ340" s="671">
        <v>0</v>
      </c>
      <c r="AK340" s="671">
        <v>0</v>
      </c>
      <c r="AL340" s="671">
        <v>0</v>
      </c>
      <c r="AM340" s="671">
        <v>0</v>
      </c>
      <c r="AN340" s="671">
        <v>0</v>
      </c>
      <c r="AO340" s="671">
        <v>0</v>
      </c>
      <c r="AP340" s="671">
        <v>0</v>
      </c>
      <c r="AQ340" s="671">
        <v>0</v>
      </c>
      <c r="AR340" s="671">
        <v>0</v>
      </c>
      <c r="AS340" s="671">
        <v>0</v>
      </c>
      <c r="AT340" s="671">
        <v>0</v>
      </c>
      <c r="AU340" s="671">
        <v>0</v>
      </c>
      <c r="AV340" s="671">
        <v>0</v>
      </c>
      <c r="AW340" s="671">
        <v>0</v>
      </c>
      <c r="AX340" s="671">
        <v>0</v>
      </c>
      <c r="AY340" s="671">
        <v>0</v>
      </c>
      <c r="AZ340" s="671">
        <v>0</v>
      </c>
      <c r="BA340" s="671">
        <v>0</v>
      </c>
      <c r="BB340" s="671">
        <v>0</v>
      </c>
      <c r="BC340" s="671">
        <v>0</v>
      </c>
      <c r="BD340" s="671">
        <v>0</v>
      </c>
      <c r="BE340" s="671">
        <v>0</v>
      </c>
      <c r="BF340" s="671">
        <v>0</v>
      </c>
      <c r="BG340" s="671">
        <v>0</v>
      </c>
      <c r="BH340" s="671">
        <v>0</v>
      </c>
      <c r="BI340" s="671">
        <v>0</v>
      </c>
      <c r="BJ340" s="671">
        <v>0</v>
      </c>
      <c r="BK340" s="671">
        <v>0</v>
      </c>
      <c r="BL340" s="671">
        <v>0</v>
      </c>
      <c r="BM340" s="671">
        <v>0</v>
      </c>
      <c r="BN340" s="671">
        <v>0</v>
      </c>
      <c r="BO340" s="671">
        <v>0</v>
      </c>
      <c r="BP340" s="671">
        <v>0</v>
      </c>
      <c r="BQ340" s="671">
        <v>0</v>
      </c>
      <c r="BR340" s="671">
        <v>0</v>
      </c>
      <c r="BS340" s="671">
        <v>0</v>
      </c>
      <c r="BT340" s="671">
        <v>0</v>
      </c>
      <c r="BU340" s="671">
        <v>0</v>
      </c>
      <c r="BV340" s="671">
        <v>0</v>
      </c>
      <c r="BW340" s="671">
        <v>0</v>
      </c>
      <c r="BX340" s="671">
        <v>0</v>
      </c>
      <c r="BY340" s="671">
        <v>0</v>
      </c>
      <c r="BZ340" s="671">
        <v>0</v>
      </c>
      <c r="CA340" s="671">
        <v>0</v>
      </c>
      <c r="CB340" s="671">
        <v>0</v>
      </c>
      <c r="CC340" s="671">
        <v>0</v>
      </c>
      <c r="CD340" s="671">
        <v>0</v>
      </c>
      <c r="CE340" s="671">
        <v>0</v>
      </c>
      <c r="CF340" s="671">
        <v>0</v>
      </c>
      <c r="CG340" s="671">
        <v>0</v>
      </c>
      <c r="CH340" s="671">
        <v>0</v>
      </c>
      <c r="CI340" s="672">
        <v>0</v>
      </c>
      <c r="CJ340" s="1478"/>
      <c r="CK340" s="796"/>
    </row>
    <row r="341" spans="2:89" ht="28" x14ac:dyDescent="0.35">
      <c r="B341" s="1058" t="s">
        <v>415</v>
      </c>
      <c r="C341" s="1059" t="s">
        <v>416</v>
      </c>
      <c r="D341" s="675" t="s">
        <v>417</v>
      </c>
      <c r="E341" s="676" t="s">
        <v>398</v>
      </c>
      <c r="F341" s="677">
        <v>2</v>
      </c>
      <c r="G341" s="670">
        <v>0</v>
      </c>
      <c r="H341" s="670">
        <v>0</v>
      </c>
      <c r="I341" s="670">
        <v>0</v>
      </c>
      <c r="J341" s="670">
        <v>0</v>
      </c>
      <c r="K341" s="670">
        <v>0</v>
      </c>
      <c r="L341" s="670">
        <v>0</v>
      </c>
      <c r="M341" s="671">
        <v>0</v>
      </c>
      <c r="N341" s="671">
        <v>0</v>
      </c>
      <c r="O341" s="671">
        <v>0</v>
      </c>
      <c r="P341" s="671">
        <v>0</v>
      </c>
      <c r="Q341" s="671">
        <v>0</v>
      </c>
      <c r="R341" s="671">
        <v>0</v>
      </c>
      <c r="S341" s="671">
        <v>0</v>
      </c>
      <c r="T341" s="671">
        <v>0</v>
      </c>
      <c r="U341" s="671">
        <v>0</v>
      </c>
      <c r="V341" s="671">
        <v>0</v>
      </c>
      <c r="W341" s="671">
        <v>0</v>
      </c>
      <c r="X341" s="671">
        <v>0</v>
      </c>
      <c r="Y341" s="671">
        <v>0</v>
      </c>
      <c r="Z341" s="671">
        <v>0</v>
      </c>
      <c r="AA341" s="671">
        <v>0</v>
      </c>
      <c r="AB341" s="671">
        <v>0</v>
      </c>
      <c r="AC341" s="671">
        <v>0</v>
      </c>
      <c r="AD341" s="671">
        <v>0</v>
      </c>
      <c r="AE341" s="671">
        <v>0</v>
      </c>
      <c r="AF341" s="671">
        <v>0</v>
      </c>
      <c r="AG341" s="671">
        <v>0</v>
      </c>
      <c r="AH341" s="671">
        <v>0</v>
      </c>
      <c r="AI341" s="671">
        <v>0</v>
      </c>
      <c r="AJ341" s="671">
        <v>0</v>
      </c>
      <c r="AK341" s="671">
        <v>0</v>
      </c>
      <c r="AL341" s="671">
        <v>0</v>
      </c>
      <c r="AM341" s="671">
        <v>0</v>
      </c>
      <c r="AN341" s="671">
        <v>0</v>
      </c>
      <c r="AO341" s="671">
        <v>0</v>
      </c>
      <c r="AP341" s="671">
        <v>0</v>
      </c>
      <c r="AQ341" s="671">
        <v>0</v>
      </c>
      <c r="AR341" s="671">
        <v>0</v>
      </c>
      <c r="AS341" s="671">
        <v>0</v>
      </c>
      <c r="AT341" s="671">
        <v>0</v>
      </c>
      <c r="AU341" s="671">
        <v>0</v>
      </c>
      <c r="AV341" s="671">
        <v>0</v>
      </c>
      <c r="AW341" s="671">
        <v>0</v>
      </c>
      <c r="AX341" s="671">
        <v>0</v>
      </c>
      <c r="AY341" s="671">
        <v>0</v>
      </c>
      <c r="AZ341" s="671">
        <v>0</v>
      </c>
      <c r="BA341" s="671">
        <v>0</v>
      </c>
      <c r="BB341" s="671">
        <v>0</v>
      </c>
      <c r="BC341" s="671">
        <v>0</v>
      </c>
      <c r="BD341" s="671">
        <v>0</v>
      </c>
      <c r="BE341" s="671">
        <v>0</v>
      </c>
      <c r="BF341" s="671">
        <v>0</v>
      </c>
      <c r="BG341" s="671">
        <v>0</v>
      </c>
      <c r="BH341" s="671">
        <v>0</v>
      </c>
      <c r="BI341" s="671">
        <v>0</v>
      </c>
      <c r="BJ341" s="671">
        <v>0</v>
      </c>
      <c r="BK341" s="671">
        <v>0</v>
      </c>
      <c r="BL341" s="671">
        <v>0</v>
      </c>
      <c r="BM341" s="671">
        <v>0</v>
      </c>
      <c r="BN341" s="671">
        <v>0</v>
      </c>
      <c r="BO341" s="671">
        <v>0</v>
      </c>
      <c r="BP341" s="671">
        <v>0</v>
      </c>
      <c r="BQ341" s="671">
        <v>0</v>
      </c>
      <c r="BR341" s="671">
        <v>0</v>
      </c>
      <c r="BS341" s="671">
        <v>0</v>
      </c>
      <c r="BT341" s="671">
        <v>0</v>
      </c>
      <c r="BU341" s="671">
        <v>0</v>
      </c>
      <c r="BV341" s="671">
        <v>0</v>
      </c>
      <c r="BW341" s="671">
        <v>0</v>
      </c>
      <c r="BX341" s="671">
        <v>0</v>
      </c>
      <c r="BY341" s="671">
        <v>0</v>
      </c>
      <c r="BZ341" s="671">
        <v>0</v>
      </c>
      <c r="CA341" s="671">
        <v>0</v>
      </c>
      <c r="CB341" s="671">
        <v>0</v>
      </c>
      <c r="CC341" s="671">
        <v>0</v>
      </c>
      <c r="CD341" s="671">
        <v>0</v>
      </c>
      <c r="CE341" s="671">
        <v>0</v>
      </c>
      <c r="CF341" s="671">
        <v>0</v>
      </c>
      <c r="CG341" s="671">
        <v>0</v>
      </c>
      <c r="CH341" s="671">
        <v>0</v>
      </c>
      <c r="CI341" s="672">
        <v>0</v>
      </c>
      <c r="CJ341" s="1478"/>
      <c r="CK341" s="796"/>
    </row>
    <row r="342" spans="2:89" x14ac:dyDescent="0.35">
      <c r="B342" s="1058" t="s">
        <v>418</v>
      </c>
      <c r="C342" s="1059" t="s">
        <v>419</v>
      </c>
      <c r="D342" s="675" t="s">
        <v>420</v>
      </c>
      <c r="E342" s="676" t="s">
        <v>398</v>
      </c>
      <c r="F342" s="677">
        <v>2</v>
      </c>
      <c r="G342" s="670">
        <v>0</v>
      </c>
      <c r="H342" s="670">
        <v>0</v>
      </c>
      <c r="I342" s="670">
        <v>0</v>
      </c>
      <c r="J342" s="670">
        <v>0</v>
      </c>
      <c r="K342" s="670">
        <v>0</v>
      </c>
      <c r="L342" s="670">
        <v>0</v>
      </c>
      <c r="M342" s="671">
        <v>0</v>
      </c>
      <c r="N342" s="671">
        <v>0</v>
      </c>
      <c r="O342" s="671">
        <v>0</v>
      </c>
      <c r="P342" s="671">
        <v>0</v>
      </c>
      <c r="Q342" s="671">
        <v>0</v>
      </c>
      <c r="R342" s="671">
        <v>0</v>
      </c>
      <c r="S342" s="671">
        <v>0</v>
      </c>
      <c r="T342" s="671">
        <v>0</v>
      </c>
      <c r="U342" s="671">
        <v>0</v>
      </c>
      <c r="V342" s="671">
        <v>0</v>
      </c>
      <c r="W342" s="671">
        <v>0</v>
      </c>
      <c r="X342" s="671">
        <v>0</v>
      </c>
      <c r="Y342" s="671">
        <v>0</v>
      </c>
      <c r="Z342" s="671">
        <v>0</v>
      </c>
      <c r="AA342" s="671">
        <v>0</v>
      </c>
      <c r="AB342" s="671">
        <v>0</v>
      </c>
      <c r="AC342" s="671">
        <v>0</v>
      </c>
      <c r="AD342" s="671">
        <v>0</v>
      </c>
      <c r="AE342" s="671">
        <v>0</v>
      </c>
      <c r="AF342" s="671">
        <v>0</v>
      </c>
      <c r="AG342" s="671">
        <v>0</v>
      </c>
      <c r="AH342" s="671">
        <v>0</v>
      </c>
      <c r="AI342" s="671">
        <v>0</v>
      </c>
      <c r="AJ342" s="671">
        <v>0</v>
      </c>
      <c r="AK342" s="671">
        <v>0</v>
      </c>
      <c r="AL342" s="671">
        <v>0</v>
      </c>
      <c r="AM342" s="671">
        <v>0</v>
      </c>
      <c r="AN342" s="671">
        <v>0</v>
      </c>
      <c r="AO342" s="671">
        <v>0</v>
      </c>
      <c r="AP342" s="671">
        <v>0</v>
      </c>
      <c r="AQ342" s="671">
        <v>0</v>
      </c>
      <c r="AR342" s="671">
        <v>0</v>
      </c>
      <c r="AS342" s="671">
        <v>0</v>
      </c>
      <c r="AT342" s="671">
        <v>0</v>
      </c>
      <c r="AU342" s="671">
        <v>0</v>
      </c>
      <c r="AV342" s="671">
        <v>0</v>
      </c>
      <c r="AW342" s="671">
        <v>0</v>
      </c>
      <c r="AX342" s="671">
        <v>0</v>
      </c>
      <c r="AY342" s="671">
        <v>0</v>
      </c>
      <c r="AZ342" s="671">
        <v>0</v>
      </c>
      <c r="BA342" s="671">
        <v>0</v>
      </c>
      <c r="BB342" s="671">
        <v>0</v>
      </c>
      <c r="BC342" s="671">
        <v>0</v>
      </c>
      <c r="BD342" s="671">
        <v>0</v>
      </c>
      <c r="BE342" s="671">
        <v>0</v>
      </c>
      <c r="BF342" s="671">
        <v>0</v>
      </c>
      <c r="BG342" s="671">
        <v>0</v>
      </c>
      <c r="BH342" s="671">
        <v>0</v>
      </c>
      <c r="BI342" s="671">
        <v>0</v>
      </c>
      <c r="BJ342" s="671">
        <v>0</v>
      </c>
      <c r="BK342" s="671">
        <v>0</v>
      </c>
      <c r="BL342" s="671">
        <v>0</v>
      </c>
      <c r="BM342" s="671">
        <v>0</v>
      </c>
      <c r="BN342" s="671">
        <v>0</v>
      </c>
      <c r="BO342" s="671">
        <v>0</v>
      </c>
      <c r="BP342" s="671">
        <v>0</v>
      </c>
      <c r="BQ342" s="671">
        <v>0</v>
      </c>
      <c r="BR342" s="671">
        <v>0</v>
      </c>
      <c r="BS342" s="671">
        <v>0</v>
      </c>
      <c r="BT342" s="671">
        <v>0</v>
      </c>
      <c r="BU342" s="671">
        <v>0</v>
      </c>
      <c r="BV342" s="671">
        <v>0</v>
      </c>
      <c r="BW342" s="671">
        <v>0</v>
      </c>
      <c r="BX342" s="671">
        <v>0</v>
      </c>
      <c r="BY342" s="671">
        <v>0</v>
      </c>
      <c r="BZ342" s="671">
        <v>0</v>
      </c>
      <c r="CA342" s="671">
        <v>0</v>
      </c>
      <c r="CB342" s="671">
        <v>0</v>
      </c>
      <c r="CC342" s="671">
        <v>0</v>
      </c>
      <c r="CD342" s="671">
        <v>0</v>
      </c>
      <c r="CE342" s="671">
        <v>0</v>
      </c>
      <c r="CF342" s="671">
        <v>0</v>
      </c>
      <c r="CG342" s="671">
        <v>0</v>
      </c>
      <c r="CH342" s="671">
        <v>0</v>
      </c>
      <c r="CI342" s="672">
        <v>0</v>
      </c>
      <c r="CJ342" s="1478"/>
      <c r="CK342" s="796"/>
    </row>
    <row r="343" spans="2:89" ht="28" x14ac:dyDescent="0.35">
      <c r="B343" s="1058" t="s">
        <v>421</v>
      </c>
      <c r="C343" s="1059" t="s">
        <v>422</v>
      </c>
      <c r="D343" s="675" t="s">
        <v>423</v>
      </c>
      <c r="E343" s="676" t="s">
        <v>398</v>
      </c>
      <c r="F343" s="677">
        <v>2</v>
      </c>
      <c r="G343" s="670">
        <v>0</v>
      </c>
      <c r="H343" s="670">
        <v>0</v>
      </c>
      <c r="I343" s="670">
        <v>0</v>
      </c>
      <c r="J343" s="670">
        <v>0</v>
      </c>
      <c r="K343" s="670">
        <v>0</v>
      </c>
      <c r="L343" s="670">
        <v>0</v>
      </c>
      <c r="M343" s="671">
        <v>0</v>
      </c>
      <c r="N343" s="671">
        <v>0</v>
      </c>
      <c r="O343" s="671">
        <v>0</v>
      </c>
      <c r="P343" s="671">
        <v>0</v>
      </c>
      <c r="Q343" s="671">
        <v>0</v>
      </c>
      <c r="R343" s="671">
        <v>0</v>
      </c>
      <c r="S343" s="671">
        <v>0</v>
      </c>
      <c r="T343" s="671">
        <v>0</v>
      </c>
      <c r="U343" s="671">
        <v>0</v>
      </c>
      <c r="V343" s="671">
        <v>0</v>
      </c>
      <c r="W343" s="671">
        <v>0</v>
      </c>
      <c r="X343" s="671">
        <v>0</v>
      </c>
      <c r="Y343" s="671">
        <v>0</v>
      </c>
      <c r="Z343" s="671">
        <v>0</v>
      </c>
      <c r="AA343" s="671">
        <v>0</v>
      </c>
      <c r="AB343" s="671">
        <v>0</v>
      </c>
      <c r="AC343" s="671">
        <v>0</v>
      </c>
      <c r="AD343" s="671">
        <v>0</v>
      </c>
      <c r="AE343" s="671">
        <v>0</v>
      </c>
      <c r="AF343" s="671">
        <v>0</v>
      </c>
      <c r="AG343" s="671">
        <v>0</v>
      </c>
      <c r="AH343" s="671">
        <v>0</v>
      </c>
      <c r="AI343" s="671">
        <v>0</v>
      </c>
      <c r="AJ343" s="671">
        <v>0</v>
      </c>
      <c r="AK343" s="671">
        <v>0</v>
      </c>
      <c r="AL343" s="671">
        <v>0</v>
      </c>
      <c r="AM343" s="671">
        <v>0</v>
      </c>
      <c r="AN343" s="671">
        <v>0</v>
      </c>
      <c r="AO343" s="671">
        <v>0</v>
      </c>
      <c r="AP343" s="671">
        <v>0</v>
      </c>
      <c r="AQ343" s="671">
        <v>0</v>
      </c>
      <c r="AR343" s="671">
        <v>0</v>
      </c>
      <c r="AS343" s="671">
        <v>0</v>
      </c>
      <c r="AT343" s="671">
        <v>0</v>
      </c>
      <c r="AU343" s="671">
        <v>0</v>
      </c>
      <c r="AV343" s="671">
        <v>0</v>
      </c>
      <c r="AW343" s="671">
        <v>0</v>
      </c>
      <c r="AX343" s="671">
        <v>0</v>
      </c>
      <c r="AY343" s="671">
        <v>0</v>
      </c>
      <c r="AZ343" s="671">
        <v>0</v>
      </c>
      <c r="BA343" s="671">
        <v>0</v>
      </c>
      <c r="BB343" s="671">
        <v>0</v>
      </c>
      <c r="BC343" s="671">
        <v>0</v>
      </c>
      <c r="BD343" s="671">
        <v>0</v>
      </c>
      <c r="BE343" s="671">
        <v>0</v>
      </c>
      <c r="BF343" s="671">
        <v>0</v>
      </c>
      <c r="BG343" s="671">
        <v>0</v>
      </c>
      <c r="BH343" s="671">
        <v>0</v>
      </c>
      <c r="BI343" s="671">
        <v>0</v>
      </c>
      <c r="BJ343" s="671">
        <v>0</v>
      </c>
      <c r="BK343" s="671">
        <v>0</v>
      </c>
      <c r="BL343" s="671">
        <v>0</v>
      </c>
      <c r="BM343" s="671">
        <v>0</v>
      </c>
      <c r="BN343" s="671">
        <v>0</v>
      </c>
      <c r="BO343" s="671">
        <v>0</v>
      </c>
      <c r="BP343" s="671">
        <v>0</v>
      </c>
      <c r="BQ343" s="671">
        <v>0</v>
      </c>
      <c r="BR343" s="671">
        <v>0</v>
      </c>
      <c r="BS343" s="671">
        <v>0</v>
      </c>
      <c r="BT343" s="671">
        <v>0</v>
      </c>
      <c r="BU343" s="671">
        <v>0</v>
      </c>
      <c r="BV343" s="671">
        <v>0</v>
      </c>
      <c r="BW343" s="671">
        <v>0</v>
      </c>
      <c r="BX343" s="671">
        <v>0</v>
      </c>
      <c r="BY343" s="671">
        <v>0</v>
      </c>
      <c r="BZ343" s="671">
        <v>0</v>
      </c>
      <c r="CA343" s="671">
        <v>0</v>
      </c>
      <c r="CB343" s="671">
        <v>0</v>
      </c>
      <c r="CC343" s="671">
        <v>0</v>
      </c>
      <c r="CD343" s="671">
        <v>0</v>
      </c>
      <c r="CE343" s="671">
        <v>0</v>
      </c>
      <c r="CF343" s="671">
        <v>0</v>
      </c>
      <c r="CG343" s="671">
        <v>0</v>
      </c>
      <c r="CH343" s="671">
        <v>0</v>
      </c>
      <c r="CI343" s="672">
        <v>0</v>
      </c>
      <c r="CJ343" s="1478"/>
      <c r="CK343" s="796"/>
    </row>
    <row r="344" spans="2:89" x14ac:dyDescent="0.35">
      <c r="B344" s="1058" t="s">
        <v>424</v>
      </c>
      <c r="C344" s="1059" t="s">
        <v>425</v>
      </c>
      <c r="D344" s="1003" t="s">
        <v>82</v>
      </c>
      <c r="E344" s="1045" t="s">
        <v>398</v>
      </c>
      <c r="F344" s="1046">
        <v>2</v>
      </c>
      <c r="G344" s="670">
        <v>2.1680000000000001</v>
      </c>
      <c r="H344" s="670">
        <v>2.1680000000000001</v>
      </c>
      <c r="I344" s="670">
        <v>2.1680000000000001</v>
      </c>
      <c r="J344" s="670">
        <v>2.1680000000000001</v>
      </c>
      <c r="K344" s="670">
        <v>2.1680000000000001</v>
      </c>
      <c r="L344" s="670">
        <v>2.1680000000000001</v>
      </c>
      <c r="M344" s="671">
        <v>2.1680000000000001</v>
      </c>
      <c r="N344" s="671">
        <v>2.1680000000000001</v>
      </c>
      <c r="O344" s="671">
        <v>2.1680000000000001</v>
      </c>
      <c r="P344" s="671">
        <v>2.1680000000000001</v>
      </c>
      <c r="Q344" s="671">
        <v>2.1680000000000001</v>
      </c>
      <c r="R344" s="671">
        <v>2.1680000000000001</v>
      </c>
      <c r="S344" s="671">
        <v>2.1680000000000001</v>
      </c>
      <c r="T344" s="671">
        <v>2.1680000000000001</v>
      </c>
      <c r="U344" s="671">
        <v>2.1680000000000001</v>
      </c>
      <c r="V344" s="671">
        <v>2.1680000000000001</v>
      </c>
      <c r="W344" s="671">
        <v>2.1680000000000001</v>
      </c>
      <c r="X344" s="671">
        <v>2.1680000000000001</v>
      </c>
      <c r="Y344" s="671">
        <v>2.1680000000000001</v>
      </c>
      <c r="Z344" s="671">
        <v>2.1680000000000001</v>
      </c>
      <c r="AA344" s="671">
        <v>2.1680000000000001</v>
      </c>
      <c r="AB344" s="671">
        <v>2.1680000000000001</v>
      </c>
      <c r="AC344" s="671">
        <v>2.1680000000000001</v>
      </c>
      <c r="AD344" s="671">
        <v>2.1680000000000001</v>
      </c>
      <c r="AE344" s="671">
        <v>2.1680000000000001</v>
      </c>
      <c r="AF344" s="671">
        <v>2.1680000000000001</v>
      </c>
      <c r="AG344" s="671">
        <v>2.1680000000000001</v>
      </c>
      <c r="AH344" s="671">
        <v>2.1680000000000001</v>
      </c>
      <c r="AI344" s="671">
        <v>2.1680000000000001</v>
      </c>
      <c r="AJ344" s="671">
        <v>2.1680000000000001</v>
      </c>
      <c r="AK344" s="671">
        <v>2.1680000000000001</v>
      </c>
      <c r="AL344" s="671">
        <v>2.1680000000000001</v>
      </c>
      <c r="AM344" s="671">
        <v>2.1680000000000001</v>
      </c>
      <c r="AN344" s="671">
        <v>2.1680000000000001</v>
      </c>
      <c r="AO344" s="671">
        <v>2.1680000000000001</v>
      </c>
      <c r="AP344" s="671">
        <v>2.1680000000000001</v>
      </c>
      <c r="AQ344" s="671">
        <v>2.1680000000000001</v>
      </c>
      <c r="AR344" s="671">
        <v>2.1680000000000001</v>
      </c>
      <c r="AS344" s="671">
        <v>2.1680000000000001</v>
      </c>
      <c r="AT344" s="671">
        <v>2.1680000000000001</v>
      </c>
      <c r="AU344" s="671">
        <v>2.1680000000000001</v>
      </c>
      <c r="AV344" s="671">
        <v>2.1680000000000001</v>
      </c>
      <c r="AW344" s="671">
        <v>2.1680000000000001</v>
      </c>
      <c r="AX344" s="671">
        <v>2.1680000000000001</v>
      </c>
      <c r="AY344" s="671">
        <v>2.1680000000000001</v>
      </c>
      <c r="AZ344" s="671">
        <v>2.1680000000000001</v>
      </c>
      <c r="BA344" s="671">
        <v>2.1680000000000001</v>
      </c>
      <c r="BB344" s="671">
        <v>2.1680000000000001</v>
      </c>
      <c r="BC344" s="671">
        <v>2.1680000000000001</v>
      </c>
      <c r="BD344" s="671">
        <v>2.1680000000000001</v>
      </c>
      <c r="BE344" s="671">
        <v>2.1680000000000001</v>
      </c>
      <c r="BF344" s="671">
        <v>2.1680000000000001</v>
      </c>
      <c r="BG344" s="671">
        <v>2.1680000000000001</v>
      </c>
      <c r="BH344" s="671">
        <v>2.1680000000000001</v>
      </c>
      <c r="BI344" s="671">
        <v>2.1680000000000001</v>
      </c>
      <c r="BJ344" s="671">
        <v>2.1680000000000001</v>
      </c>
      <c r="BK344" s="671">
        <v>2.1680000000000001</v>
      </c>
      <c r="BL344" s="671">
        <v>2.1680000000000001</v>
      </c>
      <c r="BM344" s="671">
        <v>2.1680000000000001</v>
      </c>
      <c r="BN344" s="671">
        <v>2.1680000000000001</v>
      </c>
      <c r="BO344" s="671">
        <v>2.1680000000000001</v>
      </c>
      <c r="BP344" s="671">
        <v>2.1680000000000001</v>
      </c>
      <c r="BQ344" s="671">
        <v>2.1680000000000001</v>
      </c>
      <c r="BR344" s="671">
        <v>2.1680000000000001</v>
      </c>
      <c r="BS344" s="671">
        <v>2.1680000000000001</v>
      </c>
      <c r="BT344" s="671">
        <v>2.1680000000000001</v>
      </c>
      <c r="BU344" s="671">
        <v>2.1680000000000001</v>
      </c>
      <c r="BV344" s="671">
        <v>2.1680000000000001</v>
      </c>
      <c r="BW344" s="671">
        <v>2.1680000000000001</v>
      </c>
      <c r="BX344" s="671">
        <v>2.1680000000000001</v>
      </c>
      <c r="BY344" s="671">
        <v>2.1680000000000001</v>
      </c>
      <c r="BZ344" s="671">
        <v>2.1680000000000001</v>
      </c>
      <c r="CA344" s="671">
        <v>2.1680000000000001</v>
      </c>
      <c r="CB344" s="671">
        <v>2.1680000000000001</v>
      </c>
      <c r="CC344" s="671">
        <v>2.1680000000000001</v>
      </c>
      <c r="CD344" s="671">
        <v>2.1680000000000001</v>
      </c>
      <c r="CE344" s="671">
        <v>2.1680000000000001</v>
      </c>
      <c r="CF344" s="671">
        <v>2.1680000000000001</v>
      </c>
      <c r="CG344" s="671">
        <v>2.1680000000000001</v>
      </c>
      <c r="CH344" s="671">
        <v>2.1680000000000001</v>
      </c>
      <c r="CI344" s="672">
        <v>2.1680000000000001</v>
      </c>
      <c r="CJ344" s="1478"/>
      <c r="CK344" s="796"/>
    </row>
    <row r="345" spans="2:89" ht="28" x14ac:dyDescent="0.35">
      <c r="B345" s="1058" t="s">
        <v>426</v>
      </c>
      <c r="C345" s="1059" t="s">
        <v>427</v>
      </c>
      <c r="D345" s="1003" t="s">
        <v>82</v>
      </c>
      <c r="E345" s="1045" t="s">
        <v>398</v>
      </c>
      <c r="F345" s="1046">
        <v>2</v>
      </c>
      <c r="G345" s="670">
        <v>34.685000000000002</v>
      </c>
      <c r="H345" s="670">
        <v>33.991300000000003</v>
      </c>
      <c r="I345" s="670">
        <v>33.831166670000002</v>
      </c>
      <c r="J345" s="670">
        <v>33.090279410000001</v>
      </c>
      <c r="K345" s="670">
        <v>32.364084810000001</v>
      </c>
      <c r="L345" s="670">
        <v>31.651472330000001</v>
      </c>
      <c r="M345" s="671">
        <v>29.013849635833331</v>
      </c>
      <c r="N345" s="671">
        <v>26.376226941666662</v>
      </c>
      <c r="O345" s="671">
        <v>23.738604247499993</v>
      </c>
      <c r="P345" s="671">
        <v>21.10098155333332</v>
      </c>
      <c r="Q345" s="671">
        <v>18.463358859166654</v>
      </c>
      <c r="R345" s="671">
        <v>15.825736164999981</v>
      </c>
      <c r="S345" s="671">
        <v>13.188113470833311</v>
      </c>
      <c r="T345" s="671">
        <v>10.550490776666642</v>
      </c>
      <c r="U345" s="671">
        <v>7.9128680824999726</v>
      </c>
      <c r="V345" s="671">
        <v>5.2752453883333033</v>
      </c>
      <c r="W345" s="671">
        <v>2.6376226941666339</v>
      </c>
      <c r="X345" s="671">
        <v>0</v>
      </c>
      <c r="Y345" s="671">
        <v>0</v>
      </c>
      <c r="Z345" s="671">
        <v>0</v>
      </c>
      <c r="AA345" s="671">
        <v>0</v>
      </c>
      <c r="AB345" s="671">
        <v>0</v>
      </c>
      <c r="AC345" s="671">
        <v>0</v>
      </c>
      <c r="AD345" s="671">
        <v>0</v>
      </c>
      <c r="AE345" s="671">
        <v>0</v>
      </c>
      <c r="AF345" s="671">
        <v>0</v>
      </c>
      <c r="AG345" s="671">
        <v>0</v>
      </c>
      <c r="AH345" s="671">
        <v>0</v>
      </c>
      <c r="AI345" s="671">
        <v>0</v>
      </c>
      <c r="AJ345" s="671">
        <v>0</v>
      </c>
      <c r="AK345" s="671">
        <v>0</v>
      </c>
      <c r="AL345" s="671">
        <v>0</v>
      </c>
      <c r="AM345" s="671">
        <v>0</v>
      </c>
      <c r="AN345" s="671">
        <v>0</v>
      </c>
      <c r="AO345" s="671">
        <v>0</v>
      </c>
      <c r="AP345" s="671">
        <v>0</v>
      </c>
      <c r="AQ345" s="671">
        <v>0</v>
      </c>
      <c r="AR345" s="671">
        <v>0</v>
      </c>
      <c r="AS345" s="671">
        <v>0</v>
      </c>
      <c r="AT345" s="671">
        <v>0</v>
      </c>
      <c r="AU345" s="671">
        <v>0</v>
      </c>
      <c r="AV345" s="671">
        <v>0</v>
      </c>
      <c r="AW345" s="671">
        <v>0</v>
      </c>
      <c r="AX345" s="671">
        <v>0</v>
      </c>
      <c r="AY345" s="671">
        <v>0</v>
      </c>
      <c r="AZ345" s="671">
        <v>0</v>
      </c>
      <c r="BA345" s="671">
        <v>0</v>
      </c>
      <c r="BB345" s="671">
        <v>0</v>
      </c>
      <c r="BC345" s="671">
        <v>0</v>
      </c>
      <c r="BD345" s="671">
        <v>0</v>
      </c>
      <c r="BE345" s="671">
        <v>0</v>
      </c>
      <c r="BF345" s="671">
        <v>0</v>
      </c>
      <c r="BG345" s="671">
        <v>0</v>
      </c>
      <c r="BH345" s="671">
        <v>0</v>
      </c>
      <c r="BI345" s="671">
        <v>0</v>
      </c>
      <c r="BJ345" s="671">
        <v>0</v>
      </c>
      <c r="BK345" s="671">
        <v>0</v>
      </c>
      <c r="BL345" s="671">
        <v>0</v>
      </c>
      <c r="BM345" s="671">
        <v>0</v>
      </c>
      <c r="BN345" s="671">
        <v>0</v>
      </c>
      <c r="BO345" s="671">
        <v>0</v>
      </c>
      <c r="BP345" s="671">
        <v>0</v>
      </c>
      <c r="BQ345" s="671">
        <v>0</v>
      </c>
      <c r="BR345" s="671">
        <v>0</v>
      </c>
      <c r="BS345" s="671">
        <v>0</v>
      </c>
      <c r="BT345" s="671">
        <v>0</v>
      </c>
      <c r="BU345" s="671">
        <v>0</v>
      </c>
      <c r="BV345" s="671">
        <v>0</v>
      </c>
      <c r="BW345" s="671">
        <v>0</v>
      </c>
      <c r="BX345" s="671">
        <v>0</v>
      </c>
      <c r="BY345" s="671">
        <v>0</v>
      </c>
      <c r="BZ345" s="671">
        <v>0</v>
      </c>
      <c r="CA345" s="671">
        <v>0</v>
      </c>
      <c r="CB345" s="671">
        <v>0</v>
      </c>
      <c r="CC345" s="671">
        <v>0</v>
      </c>
      <c r="CD345" s="671">
        <v>0</v>
      </c>
      <c r="CE345" s="671">
        <v>0</v>
      </c>
      <c r="CF345" s="671">
        <v>0</v>
      </c>
      <c r="CG345" s="671">
        <v>0</v>
      </c>
      <c r="CH345" s="671">
        <v>0</v>
      </c>
      <c r="CI345" s="672">
        <v>0</v>
      </c>
      <c r="CJ345" s="1478"/>
      <c r="CK345" s="796"/>
    </row>
    <row r="346" spans="2:89" x14ac:dyDescent="0.35">
      <c r="B346" s="1058" t="s">
        <v>428</v>
      </c>
      <c r="C346" s="1059" t="s">
        <v>429</v>
      </c>
      <c r="D346" s="1003" t="s">
        <v>82</v>
      </c>
      <c r="E346" s="1045" t="s">
        <v>398</v>
      </c>
      <c r="F346" s="1046">
        <v>2</v>
      </c>
      <c r="G346" s="670">
        <v>0.88</v>
      </c>
      <c r="H346" s="670">
        <v>0.88</v>
      </c>
      <c r="I346" s="670">
        <v>0.88</v>
      </c>
      <c r="J346" s="670">
        <v>0.88</v>
      </c>
      <c r="K346" s="670">
        <v>0.88</v>
      </c>
      <c r="L346" s="670">
        <v>0.88</v>
      </c>
      <c r="M346" s="671">
        <v>0.88</v>
      </c>
      <c r="N346" s="671">
        <v>0.88</v>
      </c>
      <c r="O346" s="671">
        <v>0.88</v>
      </c>
      <c r="P346" s="671">
        <v>0.88</v>
      </c>
      <c r="Q346" s="671">
        <v>0.88</v>
      </c>
      <c r="R346" s="671">
        <v>0.88</v>
      </c>
      <c r="S346" s="671">
        <v>0.88</v>
      </c>
      <c r="T346" s="671">
        <v>0.88</v>
      </c>
      <c r="U346" s="671">
        <v>0.88</v>
      </c>
      <c r="V346" s="671">
        <v>0.88</v>
      </c>
      <c r="W346" s="671">
        <v>0.88</v>
      </c>
      <c r="X346" s="671">
        <v>0.88</v>
      </c>
      <c r="Y346" s="671">
        <v>0.88</v>
      </c>
      <c r="Z346" s="671">
        <v>0.88</v>
      </c>
      <c r="AA346" s="671">
        <v>0.88</v>
      </c>
      <c r="AB346" s="671">
        <v>0.88</v>
      </c>
      <c r="AC346" s="671">
        <v>0.88</v>
      </c>
      <c r="AD346" s="671">
        <v>0.88</v>
      </c>
      <c r="AE346" s="671">
        <v>0.88</v>
      </c>
      <c r="AF346" s="671">
        <v>0.88</v>
      </c>
      <c r="AG346" s="671">
        <v>0.88</v>
      </c>
      <c r="AH346" s="671">
        <v>0.88</v>
      </c>
      <c r="AI346" s="671">
        <v>0.88</v>
      </c>
      <c r="AJ346" s="671">
        <v>0.88</v>
      </c>
      <c r="AK346" s="671">
        <v>0.88</v>
      </c>
      <c r="AL346" s="671">
        <v>0.88</v>
      </c>
      <c r="AM346" s="671">
        <v>0.88</v>
      </c>
      <c r="AN346" s="671">
        <v>0.88</v>
      </c>
      <c r="AO346" s="671">
        <v>0.88</v>
      </c>
      <c r="AP346" s="671">
        <v>0.88</v>
      </c>
      <c r="AQ346" s="671">
        <v>0.88</v>
      </c>
      <c r="AR346" s="671">
        <v>0.88</v>
      </c>
      <c r="AS346" s="671">
        <v>0.88</v>
      </c>
      <c r="AT346" s="671">
        <v>0.88</v>
      </c>
      <c r="AU346" s="671">
        <v>0.88</v>
      </c>
      <c r="AV346" s="671">
        <v>0.88</v>
      </c>
      <c r="AW346" s="671">
        <v>0.88</v>
      </c>
      <c r="AX346" s="671">
        <v>0.88</v>
      </c>
      <c r="AY346" s="671">
        <v>0.88</v>
      </c>
      <c r="AZ346" s="671">
        <v>0.88</v>
      </c>
      <c r="BA346" s="671">
        <v>0.88</v>
      </c>
      <c r="BB346" s="671">
        <v>0.88</v>
      </c>
      <c r="BC346" s="671">
        <v>0.88</v>
      </c>
      <c r="BD346" s="671">
        <v>0.88</v>
      </c>
      <c r="BE346" s="671">
        <v>0.88</v>
      </c>
      <c r="BF346" s="671">
        <v>0.88</v>
      </c>
      <c r="BG346" s="671">
        <v>0.88</v>
      </c>
      <c r="BH346" s="671">
        <v>0.88</v>
      </c>
      <c r="BI346" s="671">
        <v>0.88</v>
      </c>
      <c r="BJ346" s="671">
        <v>0.88</v>
      </c>
      <c r="BK346" s="671">
        <v>0.88</v>
      </c>
      <c r="BL346" s="671">
        <v>0.88</v>
      </c>
      <c r="BM346" s="671">
        <v>0.88</v>
      </c>
      <c r="BN346" s="671">
        <v>0.88</v>
      </c>
      <c r="BO346" s="671">
        <v>0.88</v>
      </c>
      <c r="BP346" s="671">
        <v>0.88</v>
      </c>
      <c r="BQ346" s="671">
        <v>0.88</v>
      </c>
      <c r="BR346" s="671">
        <v>0.88</v>
      </c>
      <c r="BS346" s="671">
        <v>0.88</v>
      </c>
      <c r="BT346" s="671">
        <v>0.88</v>
      </c>
      <c r="BU346" s="671">
        <v>0.88</v>
      </c>
      <c r="BV346" s="671">
        <v>0.88</v>
      </c>
      <c r="BW346" s="671">
        <v>0.88</v>
      </c>
      <c r="BX346" s="671">
        <v>0.88</v>
      </c>
      <c r="BY346" s="671">
        <v>0.88</v>
      </c>
      <c r="BZ346" s="671">
        <v>0.88</v>
      </c>
      <c r="CA346" s="671">
        <v>0.88</v>
      </c>
      <c r="CB346" s="671">
        <v>0.88</v>
      </c>
      <c r="CC346" s="671">
        <v>0.88</v>
      </c>
      <c r="CD346" s="671">
        <v>0.88</v>
      </c>
      <c r="CE346" s="671">
        <v>0.88</v>
      </c>
      <c r="CF346" s="671">
        <v>0.88</v>
      </c>
      <c r="CG346" s="671">
        <v>0.88</v>
      </c>
      <c r="CH346" s="671">
        <v>0.88</v>
      </c>
      <c r="CI346" s="672">
        <v>0.88</v>
      </c>
      <c r="CJ346" s="1478"/>
      <c r="CK346" s="796"/>
    </row>
    <row r="347" spans="2:89" ht="30" customHeight="1" thickBot="1" x14ac:dyDescent="0.4">
      <c r="B347" s="1060" t="s">
        <v>609</v>
      </c>
      <c r="C347" s="1061" t="s">
        <v>431</v>
      </c>
      <c r="D347" s="1062" t="s">
        <v>610</v>
      </c>
      <c r="E347" s="1063" t="s">
        <v>398</v>
      </c>
      <c r="F347" s="1064">
        <v>2</v>
      </c>
      <c r="G347" s="813">
        <f>SUM(G334:G337)+G344+G345+G346</f>
        <v>147.773</v>
      </c>
      <c r="H347" s="813">
        <f t="shared" ref="H347:BS347" si="285">SUM(H334:H337)+H344+H345+H346</f>
        <v>146.07929999999999</v>
      </c>
      <c r="I347" s="813">
        <f t="shared" si="285"/>
        <v>147.03816667000001</v>
      </c>
      <c r="J347" s="813">
        <f t="shared" si="285"/>
        <v>150.15957471000002</v>
      </c>
      <c r="K347" s="813">
        <f t="shared" si="285"/>
        <v>152.97016381</v>
      </c>
      <c r="L347" s="813">
        <f t="shared" si="285"/>
        <v>155.80501913000001</v>
      </c>
      <c r="M347" s="813">
        <f t="shared" si="285"/>
        <v>158.84184242000001</v>
      </c>
      <c r="N347" s="813">
        <f t="shared" si="285"/>
        <v>161.32860464999999</v>
      </c>
      <c r="O347" s="813">
        <f t="shared" si="285"/>
        <v>164.2936181</v>
      </c>
      <c r="P347" s="813">
        <f t="shared" si="285"/>
        <v>167.15540056</v>
      </c>
      <c r="Q347" s="813">
        <f t="shared" si="285"/>
        <v>169.75426596999998</v>
      </c>
      <c r="R347" s="813">
        <f t="shared" si="285"/>
        <v>172.27520358999999</v>
      </c>
      <c r="S347" s="813">
        <f t="shared" si="285"/>
        <v>174.47545024000001</v>
      </c>
      <c r="T347" s="813">
        <f t="shared" si="285"/>
        <v>176.34312566999998</v>
      </c>
      <c r="U347" s="813">
        <f t="shared" si="285"/>
        <v>178.21295280999999</v>
      </c>
      <c r="V347" s="813">
        <f t="shared" si="285"/>
        <v>180.07705250999999</v>
      </c>
      <c r="W347" s="813">
        <f t="shared" si="285"/>
        <v>181.82161420999998</v>
      </c>
      <c r="X347" s="813">
        <f t="shared" si="285"/>
        <v>181.47875261583337</v>
      </c>
      <c r="Y347" s="813">
        <f t="shared" si="285"/>
        <v>183.66953001583335</v>
      </c>
      <c r="Z347" s="813">
        <f t="shared" si="285"/>
        <v>185.83527681583337</v>
      </c>
      <c r="AA347" s="813">
        <f t="shared" si="285"/>
        <v>187.99861581583335</v>
      </c>
      <c r="AB347" s="813">
        <f t="shared" si="285"/>
        <v>190.15844491583334</v>
      </c>
      <c r="AC347" s="813">
        <f t="shared" si="285"/>
        <v>192.26499641583337</v>
      </c>
      <c r="AD347" s="813">
        <f t="shared" si="285"/>
        <v>194.29964741583333</v>
      </c>
      <c r="AE347" s="813">
        <f t="shared" si="285"/>
        <v>196.28579711583336</v>
      </c>
      <c r="AF347" s="813">
        <f t="shared" si="285"/>
        <v>198.19967511583337</v>
      </c>
      <c r="AG347" s="813">
        <f t="shared" si="285"/>
        <v>200.06566201583337</v>
      </c>
      <c r="AH347" s="813">
        <f t="shared" si="285"/>
        <v>201.85891261583336</v>
      </c>
      <c r="AI347" s="813">
        <f t="shared" si="285"/>
        <v>203.60382001583335</v>
      </c>
      <c r="AJ347" s="813">
        <f t="shared" si="285"/>
        <v>205.27846891583334</v>
      </c>
      <c r="AK347" s="813">
        <f t="shared" si="285"/>
        <v>206.90298391583335</v>
      </c>
      <c r="AL347" s="813">
        <f t="shared" si="285"/>
        <v>207.92268601583336</v>
      </c>
      <c r="AM347" s="813">
        <f t="shared" si="285"/>
        <v>208.91102271583335</v>
      </c>
      <c r="AN347" s="813">
        <f t="shared" si="285"/>
        <v>209.87185461583334</v>
      </c>
      <c r="AO347" s="813">
        <f t="shared" si="285"/>
        <v>210.81921591583335</v>
      </c>
      <c r="AP347" s="813">
        <f t="shared" si="285"/>
        <v>211.75601781583333</v>
      </c>
      <c r="AQ347" s="813">
        <f t="shared" si="285"/>
        <v>212.71078481583336</v>
      </c>
      <c r="AR347" s="813">
        <f t="shared" si="285"/>
        <v>213.63379641583339</v>
      </c>
      <c r="AS347" s="813">
        <f t="shared" si="285"/>
        <v>214.50796541583338</v>
      </c>
      <c r="AT347" s="813">
        <f t="shared" si="285"/>
        <v>215.33098171583333</v>
      </c>
      <c r="AU347" s="813">
        <f t="shared" si="285"/>
        <v>216.15615641583335</v>
      </c>
      <c r="AV347" s="813">
        <f t="shared" si="285"/>
        <v>216.95019841583337</v>
      </c>
      <c r="AW347" s="813">
        <f t="shared" si="285"/>
        <v>217.73119261583335</v>
      </c>
      <c r="AX347" s="813">
        <f t="shared" si="285"/>
        <v>218.49801541583332</v>
      </c>
      <c r="AY347" s="813">
        <f t="shared" si="285"/>
        <v>219.27919701583335</v>
      </c>
      <c r="AZ347" s="813">
        <f t="shared" si="285"/>
        <v>220.06016781583338</v>
      </c>
      <c r="BA347" s="813">
        <f t="shared" si="285"/>
        <v>220.86011411583334</v>
      </c>
      <c r="BB347" s="813">
        <f t="shared" si="285"/>
        <v>221.64255121583338</v>
      </c>
      <c r="BC347" s="813">
        <f t="shared" si="285"/>
        <v>222.42033381583337</v>
      </c>
      <c r="BD347" s="813">
        <f t="shared" si="285"/>
        <v>223.19034541583335</v>
      </c>
      <c r="BE347" s="813">
        <f t="shared" si="285"/>
        <v>223.97068021583334</v>
      </c>
      <c r="BF347" s="813">
        <f t="shared" si="285"/>
        <v>224.75361321583335</v>
      </c>
      <c r="BG347" s="813">
        <f t="shared" si="285"/>
        <v>225.55247181583334</v>
      </c>
      <c r="BH347" s="813">
        <f t="shared" si="285"/>
        <v>226.34954171583334</v>
      </c>
      <c r="BI347" s="813">
        <f t="shared" si="285"/>
        <v>227.15975541583339</v>
      </c>
      <c r="BJ347" s="813">
        <f t="shared" si="285"/>
        <v>227.95381381583337</v>
      </c>
      <c r="BK347" s="813">
        <f t="shared" si="285"/>
        <v>228.76343911583336</v>
      </c>
      <c r="BL347" s="813">
        <f t="shared" si="285"/>
        <v>229.55509741583336</v>
      </c>
      <c r="BM347" s="813">
        <f t="shared" si="285"/>
        <v>230.35735481583333</v>
      </c>
      <c r="BN347" s="813">
        <f t="shared" si="285"/>
        <v>231.16619651583335</v>
      </c>
      <c r="BO347" s="813">
        <f t="shared" si="285"/>
        <v>231.99546871583337</v>
      </c>
      <c r="BP347" s="813">
        <f t="shared" si="285"/>
        <v>232.84437971583336</v>
      </c>
      <c r="BQ347" s="813">
        <f t="shared" si="285"/>
        <v>233.72361641583336</v>
      </c>
      <c r="BR347" s="813">
        <f t="shared" si="285"/>
        <v>234.61230561583338</v>
      </c>
      <c r="BS347" s="813">
        <f t="shared" si="285"/>
        <v>235.51365521583335</v>
      </c>
      <c r="BT347" s="813">
        <f t="shared" ref="BT347:CI347" si="286">SUM(BT334:BT337)+BT344+BT345+BT346</f>
        <v>236.41522881583336</v>
      </c>
      <c r="BU347" s="813">
        <f t="shared" si="286"/>
        <v>237.34036381583337</v>
      </c>
      <c r="BV347" s="813">
        <f t="shared" si="286"/>
        <v>238.27027891583336</v>
      </c>
      <c r="BW347" s="813">
        <f t="shared" si="286"/>
        <v>239.21128761583336</v>
      </c>
      <c r="BX347" s="813">
        <f t="shared" si="286"/>
        <v>240.15309581583335</v>
      </c>
      <c r="BY347" s="813">
        <f t="shared" si="286"/>
        <v>241.11797551583336</v>
      </c>
      <c r="BZ347" s="813">
        <f t="shared" si="286"/>
        <v>242.09567761583338</v>
      </c>
      <c r="CA347" s="813">
        <f t="shared" si="286"/>
        <v>243.08926921583335</v>
      </c>
      <c r="CB347" s="813">
        <f t="shared" si="286"/>
        <v>244.07886671583336</v>
      </c>
      <c r="CC347" s="813">
        <f t="shared" si="286"/>
        <v>245.06531241583338</v>
      </c>
      <c r="CD347" s="813">
        <f t="shared" si="286"/>
        <v>246.04795461583336</v>
      </c>
      <c r="CE347" s="813">
        <f t="shared" si="286"/>
        <v>247.04046731583335</v>
      </c>
      <c r="CF347" s="813">
        <f t="shared" si="286"/>
        <v>248.01864621583334</v>
      </c>
      <c r="CG347" s="813">
        <f t="shared" si="286"/>
        <v>248.98644861583335</v>
      </c>
      <c r="CH347" s="813">
        <f t="shared" si="286"/>
        <v>249.92928221583335</v>
      </c>
      <c r="CI347" s="813">
        <f t="shared" si="286"/>
        <v>250.86826631583338</v>
      </c>
      <c r="CJ347" s="1478"/>
      <c r="CK347" s="796"/>
    </row>
    <row r="348" spans="2:89" x14ac:dyDescent="0.35">
      <c r="B348" s="1018" t="s">
        <v>433</v>
      </c>
      <c r="C348" s="1019" t="s">
        <v>434</v>
      </c>
      <c r="D348" s="1010" t="s">
        <v>82</v>
      </c>
      <c r="E348" s="1065" t="s">
        <v>398</v>
      </c>
      <c r="F348" s="1066">
        <v>2</v>
      </c>
      <c r="G348" s="666">
        <v>21.454731398820876</v>
      </c>
      <c r="H348" s="666">
        <v>21.454731398820876</v>
      </c>
      <c r="I348" s="666">
        <v>21.454731398820876</v>
      </c>
      <c r="J348" s="666">
        <v>21.454731398820876</v>
      </c>
      <c r="K348" s="666">
        <v>21.562064515352247</v>
      </c>
      <c r="L348" s="666">
        <v>21.662525824785231</v>
      </c>
      <c r="M348" s="667">
        <v>21.754975000619886</v>
      </c>
      <c r="N348" s="667">
        <v>21.828702419519423</v>
      </c>
      <c r="O348" s="667">
        <v>21.949910676240922</v>
      </c>
      <c r="P348" s="667">
        <v>22.069834638833999</v>
      </c>
      <c r="Q348" s="667">
        <v>22.188175112962721</v>
      </c>
      <c r="R348" s="667">
        <v>22.303603692293166</v>
      </c>
      <c r="S348" s="667">
        <v>22.411287964105604</v>
      </c>
      <c r="T348" s="667">
        <v>22.589103701829909</v>
      </c>
      <c r="U348" s="667">
        <v>22.719451670885086</v>
      </c>
      <c r="V348" s="667">
        <v>22.832256766557691</v>
      </c>
      <c r="W348" s="667">
        <v>22.920876761674879</v>
      </c>
      <c r="X348" s="667">
        <v>23.000280903100968</v>
      </c>
      <c r="Y348" s="667">
        <v>23.076595118761063</v>
      </c>
      <c r="Z348" s="667">
        <v>23.153694403886796</v>
      </c>
      <c r="AA348" s="667">
        <v>23.238798850297929</v>
      </c>
      <c r="AB348" s="667">
        <v>23.321403010606765</v>
      </c>
      <c r="AC348" s="667">
        <v>23.410032223939893</v>
      </c>
      <c r="AD348" s="667">
        <v>23.511650136232376</v>
      </c>
      <c r="AE348" s="667">
        <v>23.62581652188301</v>
      </c>
      <c r="AF348" s="667">
        <v>23.747162997484207</v>
      </c>
      <c r="AG348" s="667">
        <v>23.872536496400834</v>
      </c>
      <c r="AH348" s="667">
        <v>24.012559724092483</v>
      </c>
      <c r="AI348" s="667">
        <v>24.164656998872758</v>
      </c>
      <c r="AJ348" s="667">
        <v>24.314333844423295</v>
      </c>
      <c r="AK348" s="667">
        <v>24.465158190965653</v>
      </c>
      <c r="AL348" s="667">
        <v>24.606392518281936</v>
      </c>
      <c r="AM348" s="667">
        <v>24.585693319624902</v>
      </c>
      <c r="AN348" s="667">
        <v>24.6942370763729</v>
      </c>
      <c r="AO348" s="667">
        <v>24.802780833120998</v>
      </c>
      <c r="AP348" s="667">
        <v>24.911324589869096</v>
      </c>
      <c r="AQ348" s="667">
        <v>25.019868346617098</v>
      </c>
      <c r="AR348" s="667">
        <v>25.1284121033652</v>
      </c>
      <c r="AS348" s="667">
        <v>25.236955860113298</v>
      </c>
      <c r="AT348" s="667">
        <v>25.3454996168613</v>
      </c>
      <c r="AU348" s="667">
        <v>25.454043373609398</v>
      </c>
      <c r="AV348" s="667">
        <v>25.5625871303575</v>
      </c>
      <c r="AW348" s="667">
        <v>25.671130887105502</v>
      </c>
      <c r="AX348" s="667">
        <v>25.7796746438536</v>
      </c>
      <c r="AY348" s="667">
        <v>25.888218400601701</v>
      </c>
      <c r="AZ348" s="667">
        <v>25.9967621573497</v>
      </c>
      <c r="BA348" s="667">
        <v>26.105305914097801</v>
      </c>
      <c r="BB348" s="667">
        <v>26.213849670845899</v>
      </c>
      <c r="BC348" s="667">
        <v>26.322393427594001</v>
      </c>
      <c r="BD348" s="667">
        <v>26.430937184342</v>
      </c>
      <c r="BE348" s="667">
        <v>26.539480941090098</v>
      </c>
      <c r="BF348" s="667">
        <v>26.648024697838199</v>
      </c>
      <c r="BG348" s="667">
        <v>26.756568454586198</v>
      </c>
      <c r="BH348" s="667">
        <v>26.865112211334299</v>
      </c>
      <c r="BI348" s="667">
        <v>26.973655968082397</v>
      </c>
      <c r="BJ348" s="667">
        <v>27.082199724830399</v>
      </c>
      <c r="BK348" s="667">
        <v>27.190743481578501</v>
      </c>
      <c r="BL348" s="667">
        <v>27.299287238326599</v>
      </c>
      <c r="BM348" s="667">
        <v>27.407830995074601</v>
      </c>
      <c r="BN348" s="667">
        <v>27.516374751822699</v>
      </c>
      <c r="BO348" s="667">
        <v>27.624918508570801</v>
      </c>
      <c r="BP348" s="667">
        <v>27.733462265318803</v>
      </c>
      <c r="BQ348" s="667">
        <v>27.842006022066901</v>
      </c>
      <c r="BR348" s="667">
        <v>27.950549778814999</v>
      </c>
      <c r="BS348" s="667">
        <v>28.059093535562997</v>
      </c>
      <c r="BT348" s="667">
        <v>28.167637292311099</v>
      </c>
      <c r="BU348" s="667">
        <v>28.276181049059197</v>
      </c>
      <c r="BV348" s="667">
        <v>28.384724805807203</v>
      </c>
      <c r="BW348" s="667">
        <v>28.493268562555301</v>
      </c>
      <c r="BX348" s="667">
        <v>28.601812319303399</v>
      </c>
      <c r="BY348" s="667">
        <v>28.710356076051397</v>
      </c>
      <c r="BZ348" s="667">
        <v>28.818899832799502</v>
      </c>
      <c r="CA348" s="667">
        <v>28.9274435895476</v>
      </c>
      <c r="CB348" s="667">
        <v>29.035987346295698</v>
      </c>
      <c r="CC348" s="667">
        <v>29.144531103043697</v>
      </c>
      <c r="CD348" s="667">
        <v>29.253074859791802</v>
      </c>
      <c r="CE348" s="667">
        <v>29.3616186165399</v>
      </c>
      <c r="CF348" s="667">
        <v>29.470162373287899</v>
      </c>
      <c r="CG348" s="667">
        <v>29.578706130035997</v>
      </c>
      <c r="CH348" s="667">
        <v>29.687249886784095</v>
      </c>
      <c r="CI348" s="668">
        <v>29.7957936435321</v>
      </c>
      <c r="CJ348" s="1478">
        <v>29.904337400280198</v>
      </c>
      <c r="CK348" s="796"/>
    </row>
    <row r="349" spans="2:89" x14ac:dyDescent="0.35">
      <c r="B349" s="1025" t="s">
        <v>435</v>
      </c>
      <c r="C349" s="986" t="s">
        <v>436</v>
      </c>
      <c r="D349" s="992" t="s">
        <v>82</v>
      </c>
      <c r="E349" s="1067" t="s">
        <v>398</v>
      </c>
      <c r="F349" s="1068">
        <v>2</v>
      </c>
      <c r="G349" s="670">
        <v>3.89</v>
      </c>
      <c r="H349" s="670">
        <v>3.89</v>
      </c>
      <c r="I349" s="670">
        <v>3.89</v>
      </c>
      <c r="J349" s="670">
        <v>3.89</v>
      </c>
      <c r="K349" s="670">
        <v>3.89</v>
      </c>
      <c r="L349" s="670">
        <v>3.89</v>
      </c>
      <c r="M349" s="671">
        <v>3.89</v>
      </c>
      <c r="N349" s="671">
        <v>3.89</v>
      </c>
      <c r="O349" s="671">
        <v>3.89</v>
      </c>
      <c r="P349" s="671">
        <v>3.89</v>
      </c>
      <c r="Q349" s="671">
        <v>3.89</v>
      </c>
      <c r="R349" s="671">
        <v>3.89</v>
      </c>
      <c r="S349" s="671">
        <v>3.89</v>
      </c>
      <c r="T349" s="671">
        <v>3.89</v>
      </c>
      <c r="U349" s="671">
        <v>3.89</v>
      </c>
      <c r="V349" s="671">
        <v>3.89</v>
      </c>
      <c r="W349" s="671">
        <v>3.89</v>
      </c>
      <c r="X349" s="671">
        <v>3.89</v>
      </c>
      <c r="Y349" s="671">
        <v>3.89</v>
      </c>
      <c r="Z349" s="671">
        <v>3.89</v>
      </c>
      <c r="AA349" s="671">
        <v>3.89</v>
      </c>
      <c r="AB349" s="671">
        <v>3.89</v>
      </c>
      <c r="AC349" s="671">
        <v>3.89</v>
      </c>
      <c r="AD349" s="671">
        <v>3.89</v>
      </c>
      <c r="AE349" s="671">
        <v>3.89</v>
      </c>
      <c r="AF349" s="671">
        <v>3.89</v>
      </c>
      <c r="AG349" s="671">
        <v>3.89</v>
      </c>
      <c r="AH349" s="671">
        <v>3.89</v>
      </c>
      <c r="AI349" s="671">
        <v>3.89</v>
      </c>
      <c r="AJ349" s="671">
        <v>3.89</v>
      </c>
      <c r="AK349" s="671">
        <v>3.89</v>
      </c>
      <c r="AL349" s="671">
        <v>3.89</v>
      </c>
      <c r="AM349" s="671">
        <v>3.89</v>
      </c>
      <c r="AN349" s="671">
        <v>3.89</v>
      </c>
      <c r="AO349" s="671">
        <v>3.89</v>
      </c>
      <c r="AP349" s="671">
        <v>3.89</v>
      </c>
      <c r="AQ349" s="671">
        <v>3.89</v>
      </c>
      <c r="AR349" s="671">
        <v>3.89</v>
      </c>
      <c r="AS349" s="671">
        <v>3.89</v>
      </c>
      <c r="AT349" s="671">
        <v>3.89</v>
      </c>
      <c r="AU349" s="671">
        <v>3.89</v>
      </c>
      <c r="AV349" s="671">
        <v>3.89</v>
      </c>
      <c r="AW349" s="671">
        <v>3.89</v>
      </c>
      <c r="AX349" s="671">
        <v>3.89</v>
      </c>
      <c r="AY349" s="671">
        <v>3.89</v>
      </c>
      <c r="AZ349" s="671">
        <v>3.89</v>
      </c>
      <c r="BA349" s="671">
        <v>3.89</v>
      </c>
      <c r="BB349" s="671">
        <v>3.89</v>
      </c>
      <c r="BC349" s="671">
        <v>3.89</v>
      </c>
      <c r="BD349" s="671">
        <v>3.89</v>
      </c>
      <c r="BE349" s="671">
        <v>3.89</v>
      </c>
      <c r="BF349" s="671">
        <v>3.89</v>
      </c>
      <c r="BG349" s="671">
        <v>3.89</v>
      </c>
      <c r="BH349" s="671">
        <v>3.89</v>
      </c>
      <c r="BI349" s="671">
        <v>3.89</v>
      </c>
      <c r="BJ349" s="671">
        <v>3.89</v>
      </c>
      <c r="BK349" s="671">
        <v>3.89</v>
      </c>
      <c r="BL349" s="671">
        <v>3.89</v>
      </c>
      <c r="BM349" s="671">
        <v>3.89</v>
      </c>
      <c r="BN349" s="671">
        <v>3.89</v>
      </c>
      <c r="BO349" s="671">
        <v>3.89</v>
      </c>
      <c r="BP349" s="671">
        <v>3.89</v>
      </c>
      <c r="BQ349" s="671">
        <v>3.89</v>
      </c>
      <c r="BR349" s="671">
        <v>3.89</v>
      </c>
      <c r="BS349" s="671">
        <v>3.89</v>
      </c>
      <c r="BT349" s="671">
        <v>3.89</v>
      </c>
      <c r="BU349" s="671">
        <v>3.89</v>
      </c>
      <c r="BV349" s="671">
        <v>3.89</v>
      </c>
      <c r="BW349" s="671">
        <v>3.89</v>
      </c>
      <c r="BX349" s="671">
        <v>3.89</v>
      </c>
      <c r="BY349" s="671">
        <v>3.89</v>
      </c>
      <c r="BZ349" s="671">
        <v>3.89</v>
      </c>
      <c r="CA349" s="671">
        <v>3.89</v>
      </c>
      <c r="CB349" s="671">
        <v>3.89</v>
      </c>
      <c r="CC349" s="671">
        <v>3.89</v>
      </c>
      <c r="CD349" s="671">
        <v>3.89</v>
      </c>
      <c r="CE349" s="671">
        <v>3.89</v>
      </c>
      <c r="CF349" s="671">
        <v>3.89</v>
      </c>
      <c r="CG349" s="671">
        <v>3.89</v>
      </c>
      <c r="CH349" s="671">
        <v>3.89</v>
      </c>
      <c r="CI349" s="672">
        <v>3.89</v>
      </c>
      <c r="CJ349" s="1478">
        <v>3.89</v>
      </c>
      <c r="CK349" s="796"/>
    </row>
    <row r="350" spans="2:89" x14ac:dyDescent="0.35">
      <c r="B350" s="1022" t="s">
        <v>437</v>
      </c>
      <c r="C350" s="1069" t="s">
        <v>438</v>
      </c>
      <c r="D350" s="992" t="s">
        <v>82</v>
      </c>
      <c r="E350" s="1067" t="s">
        <v>398</v>
      </c>
      <c r="F350" s="1068">
        <v>2</v>
      </c>
      <c r="G350" s="670">
        <v>230.19824350000002</v>
      </c>
      <c r="H350" s="670">
        <v>236.88780679999999</v>
      </c>
      <c r="I350" s="670">
        <v>244.7</v>
      </c>
      <c r="J350" s="670">
        <v>255.6014098</v>
      </c>
      <c r="K350" s="670">
        <v>264.71380589999995</v>
      </c>
      <c r="L350" s="670">
        <v>273.86312050000004</v>
      </c>
      <c r="M350" s="671">
        <v>289.75055835181814</v>
      </c>
      <c r="N350" s="671">
        <v>303.74746534363635</v>
      </c>
      <c r="O350" s="671">
        <v>318.88572456545455</v>
      </c>
      <c r="P350" s="671">
        <v>333.75362324727274</v>
      </c>
      <c r="Q350" s="671">
        <v>347.67475834909089</v>
      </c>
      <c r="R350" s="671">
        <v>361.37044014090912</v>
      </c>
      <c r="S350" s="671">
        <v>373.81884110272722</v>
      </c>
      <c r="T350" s="671">
        <v>385.32146781454537</v>
      </c>
      <c r="U350" s="671">
        <v>396.95283340636354</v>
      </c>
      <c r="V350" s="671">
        <v>408.75045425818178</v>
      </c>
      <c r="W350" s="671">
        <v>420.00845988999998</v>
      </c>
      <c r="X350" s="671">
        <v>422.80978419999997</v>
      </c>
      <c r="Y350" s="671">
        <v>425.37903606999998</v>
      </c>
      <c r="Z350" s="671">
        <v>428.16572658000001</v>
      </c>
      <c r="AA350" s="671">
        <v>430.62756588999997</v>
      </c>
      <c r="AB350" s="671">
        <v>433.11183986000003</v>
      </c>
      <c r="AC350" s="671">
        <v>435.54349449</v>
      </c>
      <c r="AD350" s="671">
        <v>437.90593825999997</v>
      </c>
      <c r="AE350" s="671">
        <v>440.24808402999997</v>
      </c>
      <c r="AF350" s="671">
        <v>442.45729614999999</v>
      </c>
      <c r="AG350" s="671">
        <v>444.45444335000002</v>
      </c>
      <c r="AH350" s="671">
        <v>446.30860184000005</v>
      </c>
      <c r="AI350" s="671">
        <v>448.11645051000005</v>
      </c>
      <c r="AJ350" s="671">
        <v>449.82540564999999</v>
      </c>
      <c r="AK350" s="671">
        <v>451.37190677000001</v>
      </c>
      <c r="AL350" s="671">
        <v>451.80112171000007</v>
      </c>
      <c r="AM350" s="671">
        <v>452.21425261000002</v>
      </c>
      <c r="AN350" s="671">
        <v>452.61568951999999</v>
      </c>
      <c r="AO350" s="671">
        <v>452.98561281999997</v>
      </c>
      <c r="AP350" s="671">
        <v>453.3470509</v>
      </c>
      <c r="AQ350" s="671">
        <v>453.67247873999997</v>
      </c>
      <c r="AR350" s="671">
        <v>454.00142471999999</v>
      </c>
      <c r="AS350" s="671">
        <v>454.30868371000003</v>
      </c>
      <c r="AT350" s="671">
        <v>454.58607365</v>
      </c>
      <c r="AU350" s="671">
        <v>454.85169349</v>
      </c>
      <c r="AV350" s="671">
        <v>455.09009236999998</v>
      </c>
      <c r="AW350" s="671">
        <v>455.32132846999997</v>
      </c>
      <c r="AX350" s="671">
        <v>455.54210635999999</v>
      </c>
      <c r="AY350" s="671">
        <v>455.73675852000002</v>
      </c>
      <c r="AZ350" s="671">
        <v>455.92279744999996</v>
      </c>
      <c r="BA350" s="671">
        <v>456.106131</v>
      </c>
      <c r="BB350" s="671">
        <v>456.30629723999999</v>
      </c>
      <c r="BC350" s="671">
        <v>456.51039450999997</v>
      </c>
      <c r="BD350" s="671">
        <v>456.72780993999999</v>
      </c>
      <c r="BE350" s="671">
        <v>456.95135103000001</v>
      </c>
      <c r="BF350" s="671">
        <v>457.18363714999998</v>
      </c>
      <c r="BG350" s="671">
        <v>457.44756877000003</v>
      </c>
      <c r="BH350" s="671">
        <v>457.73398552999998</v>
      </c>
      <c r="BI350" s="671">
        <v>458.05340166999997</v>
      </c>
      <c r="BJ350" s="671">
        <v>458.39932943000002</v>
      </c>
      <c r="BK350" s="671">
        <v>458.76365042999998</v>
      </c>
      <c r="BL350" s="671">
        <v>459.16169122999997</v>
      </c>
      <c r="BM350" s="671">
        <v>459.59490068999997</v>
      </c>
      <c r="BN350" s="671">
        <v>460.05948784999998</v>
      </c>
      <c r="BO350" s="671">
        <v>460.55471614000004</v>
      </c>
      <c r="BP350" s="671">
        <v>461.07351062999999</v>
      </c>
      <c r="BQ350" s="671">
        <v>461.61660083000004</v>
      </c>
      <c r="BR350" s="671">
        <v>462.18530535000002</v>
      </c>
      <c r="BS350" s="671">
        <v>462.76942093999997</v>
      </c>
      <c r="BT350" s="671">
        <v>463.36996821999998</v>
      </c>
      <c r="BU350" s="671">
        <v>463.97823922999999</v>
      </c>
      <c r="BV350" s="671">
        <v>464.60177874999999</v>
      </c>
      <c r="BW350" s="671">
        <v>465.22448809000002</v>
      </c>
      <c r="BX350" s="671">
        <v>465.84909906000001</v>
      </c>
      <c r="BY350" s="671">
        <v>466.47100480999995</v>
      </c>
      <c r="BZ350" s="671">
        <v>467.08483787</v>
      </c>
      <c r="CA350" s="671">
        <v>467.69486574000007</v>
      </c>
      <c r="CB350" s="671">
        <v>468.30375601000003</v>
      </c>
      <c r="CC350" s="671">
        <v>468.91053782</v>
      </c>
      <c r="CD350" s="671">
        <v>469.51079011999997</v>
      </c>
      <c r="CE350" s="671">
        <v>470.09404892000003</v>
      </c>
      <c r="CF350" s="671">
        <v>470.66498897000002</v>
      </c>
      <c r="CG350" s="671">
        <v>471.23106488000002</v>
      </c>
      <c r="CH350" s="671">
        <v>471.79250310000003</v>
      </c>
      <c r="CI350" s="672">
        <v>472.33900004000003</v>
      </c>
      <c r="CJ350" s="1478"/>
      <c r="CK350" s="796"/>
    </row>
    <row r="351" spans="2:89" ht="28.5" customHeight="1" x14ac:dyDescent="0.35">
      <c r="B351" s="1022" t="s">
        <v>439</v>
      </c>
      <c r="C351" s="1069" t="s">
        <v>440</v>
      </c>
      <c r="D351" s="992" t="s">
        <v>82</v>
      </c>
      <c r="E351" s="1067" t="s">
        <v>398</v>
      </c>
      <c r="F351" s="1068">
        <v>2</v>
      </c>
      <c r="G351" s="670">
        <v>96.723756460000004</v>
      </c>
      <c r="H351" s="670">
        <v>95.109690570000012</v>
      </c>
      <c r="I351" s="670">
        <v>95.680999999999997</v>
      </c>
      <c r="J351" s="670">
        <v>94.439377660000005</v>
      </c>
      <c r="K351" s="670">
        <v>92.843784329999991</v>
      </c>
      <c r="L351" s="670">
        <v>91.256070410000007</v>
      </c>
      <c r="M351" s="671">
        <v>83.269154918181826</v>
      </c>
      <c r="N351" s="671">
        <v>75.282239426363645</v>
      </c>
      <c r="O351" s="671">
        <v>67.295323934545465</v>
      </c>
      <c r="P351" s="671">
        <v>59.308408442727284</v>
      </c>
      <c r="Q351" s="671">
        <v>51.321492950909111</v>
      </c>
      <c r="R351" s="671">
        <v>43.33457745909093</v>
      </c>
      <c r="S351" s="671">
        <v>35.347661967272749</v>
      </c>
      <c r="T351" s="671">
        <v>27.360746475454569</v>
      </c>
      <c r="U351" s="671">
        <v>19.373830983636395</v>
      </c>
      <c r="V351" s="671">
        <v>11.386915491818215</v>
      </c>
      <c r="W351" s="671">
        <v>3.4000000000000341</v>
      </c>
      <c r="X351" s="671">
        <v>3.4</v>
      </c>
      <c r="Y351" s="671">
        <v>3.4</v>
      </c>
      <c r="Z351" s="671">
        <v>3.4</v>
      </c>
      <c r="AA351" s="671">
        <v>3.4</v>
      </c>
      <c r="AB351" s="671">
        <v>3.4</v>
      </c>
      <c r="AC351" s="671">
        <v>3.4</v>
      </c>
      <c r="AD351" s="671">
        <v>3.4</v>
      </c>
      <c r="AE351" s="671">
        <v>3.4</v>
      </c>
      <c r="AF351" s="671">
        <v>3.4</v>
      </c>
      <c r="AG351" s="671">
        <v>3.4</v>
      </c>
      <c r="AH351" s="671">
        <v>3.4</v>
      </c>
      <c r="AI351" s="671">
        <v>3.4</v>
      </c>
      <c r="AJ351" s="671">
        <v>3.4</v>
      </c>
      <c r="AK351" s="671">
        <v>3.4</v>
      </c>
      <c r="AL351" s="671">
        <v>3.4</v>
      </c>
      <c r="AM351" s="671">
        <v>3.4</v>
      </c>
      <c r="AN351" s="671">
        <v>3.4</v>
      </c>
      <c r="AO351" s="671">
        <v>3.4</v>
      </c>
      <c r="AP351" s="671">
        <v>3.4</v>
      </c>
      <c r="AQ351" s="671">
        <v>3.4</v>
      </c>
      <c r="AR351" s="671">
        <v>3.4</v>
      </c>
      <c r="AS351" s="671">
        <v>3.4</v>
      </c>
      <c r="AT351" s="671">
        <v>3.4</v>
      </c>
      <c r="AU351" s="671">
        <v>3.4</v>
      </c>
      <c r="AV351" s="671">
        <v>3.4</v>
      </c>
      <c r="AW351" s="671">
        <v>3.4</v>
      </c>
      <c r="AX351" s="671">
        <v>3.4</v>
      </c>
      <c r="AY351" s="671">
        <v>3.4</v>
      </c>
      <c r="AZ351" s="671">
        <v>3.4</v>
      </c>
      <c r="BA351" s="671">
        <v>3.4</v>
      </c>
      <c r="BB351" s="671">
        <v>3.4</v>
      </c>
      <c r="BC351" s="671">
        <v>3.4</v>
      </c>
      <c r="BD351" s="671">
        <v>3.4</v>
      </c>
      <c r="BE351" s="671">
        <v>3.4</v>
      </c>
      <c r="BF351" s="671">
        <v>3.4</v>
      </c>
      <c r="BG351" s="671">
        <v>3.4</v>
      </c>
      <c r="BH351" s="671">
        <v>3.4</v>
      </c>
      <c r="BI351" s="671">
        <v>3.4</v>
      </c>
      <c r="BJ351" s="671">
        <v>3.4</v>
      </c>
      <c r="BK351" s="671">
        <v>3.4</v>
      </c>
      <c r="BL351" s="671">
        <v>3.4</v>
      </c>
      <c r="BM351" s="671">
        <v>3.4</v>
      </c>
      <c r="BN351" s="671">
        <v>3.4</v>
      </c>
      <c r="BO351" s="671">
        <v>3.4</v>
      </c>
      <c r="BP351" s="671">
        <v>3.4</v>
      </c>
      <c r="BQ351" s="671">
        <v>3.4</v>
      </c>
      <c r="BR351" s="671">
        <v>3.4</v>
      </c>
      <c r="BS351" s="671">
        <v>3.4</v>
      </c>
      <c r="BT351" s="671">
        <v>3.4</v>
      </c>
      <c r="BU351" s="671">
        <v>3.4</v>
      </c>
      <c r="BV351" s="671">
        <v>3.4</v>
      </c>
      <c r="BW351" s="671">
        <v>3.4</v>
      </c>
      <c r="BX351" s="671">
        <v>3.4</v>
      </c>
      <c r="BY351" s="671">
        <v>3.4</v>
      </c>
      <c r="BZ351" s="671">
        <v>3.4</v>
      </c>
      <c r="CA351" s="671">
        <v>3.4</v>
      </c>
      <c r="CB351" s="671">
        <v>3.4</v>
      </c>
      <c r="CC351" s="671">
        <v>3.4</v>
      </c>
      <c r="CD351" s="671">
        <v>3.4</v>
      </c>
      <c r="CE351" s="671">
        <v>3.4</v>
      </c>
      <c r="CF351" s="671">
        <v>3.4</v>
      </c>
      <c r="CG351" s="671">
        <v>3.4</v>
      </c>
      <c r="CH351" s="671">
        <v>3.4</v>
      </c>
      <c r="CI351" s="671">
        <v>3.4</v>
      </c>
      <c r="CJ351" s="1478"/>
      <c r="CK351" s="796"/>
    </row>
    <row r="352" spans="2:89" x14ac:dyDescent="0.35">
      <c r="B352" s="1070" t="s">
        <v>611</v>
      </c>
      <c r="C352" s="1069" t="s">
        <v>442</v>
      </c>
      <c r="D352" s="1071" t="s">
        <v>612</v>
      </c>
      <c r="E352" s="1067" t="s">
        <v>398</v>
      </c>
      <c r="F352" s="1068">
        <v>2</v>
      </c>
      <c r="G352" s="642">
        <f>SUM(G348:G351)</f>
        <v>352.26673135882089</v>
      </c>
      <c r="H352" s="642">
        <f t="shared" ref="H352:BS352" si="287">SUM(H348:H351)</f>
        <v>357.34222876882086</v>
      </c>
      <c r="I352" s="642">
        <f t="shared" si="287"/>
        <v>365.72573139882087</v>
      </c>
      <c r="J352" s="642">
        <f t="shared" si="287"/>
        <v>375.38551885882089</v>
      </c>
      <c r="K352" s="642">
        <f t="shared" si="287"/>
        <v>383.00965474535218</v>
      </c>
      <c r="L352" s="642">
        <f t="shared" si="287"/>
        <v>390.67171673478526</v>
      </c>
      <c r="M352" s="802">
        <f t="shared" si="287"/>
        <v>398.66468827061982</v>
      </c>
      <c r="N352" s="802">
        <f t="shared" si="287"/>
        <v>404.74840718951941</v>
      </c>
      <c r="O352" s="802">
        <f t="shared" si="287"/>
        <v>412.02095917624098</v>
      </c>
      <c r="P352" s="802">
        <f t="shared" si="287"/>
        <v>419.02186632883405</v>
      </c>
      <c r="Q352" s="802">
        <f t="shared" si="287"/>
        <v>425.07442641296268</v>
      </c>
      <c r="R352" s="802">
        <f t="shared" si="287"/>
        <v>430.89862129229323</v>
      </c>
      <c r="S352" s="802">
        <f t="shared" si="287"/>
        <v>435.46779103410557</v>
      </c>
      <c r="T352" s="802">
        <f t="shared" si="287"/>
        <v>439.16131799182983</v>
      </c>
      <c r="U352" s="802">
        <f t="shared" si="287"/>
        <v>442.93611606088507</v>
      </c>
      <c r="V352" s="802">
        <f t="shared" si="287"/>
        <v>446.85962651655768</v>
      </c>
      <c r="W352" s="802">
        <f t="shared" si="287"/>
        <v>450.21933665167489</v>
      </c>
      <c r="X352" s="802">
        <f t="shared" si="287"/>
        <v>453.10006510310092</v>
      </c>
      <c r="Y352" s="802">
        <f t="shared" si="287"/>
        <v>455.74563118876102</v>
      </c>
      <c r="Z352" s="802">
        <f t="shared" si="287"/>
        <v>458.60942098388676</v>
      </c>
      <c r="AA352" s="802">
        <f t="shared" si="287"/>
        <v>461.15636474029787</v>
      </c>
      <c r="AB352" s="802">
        <f t="shared" si="287"/>
        <v>463.72324287060678</v>
      </c>
      <c r="AC352" s="802">
        <f t="shared" si="287"/>
        <v>466.2435267139399</v>
      </c>
      <c r="AD352" s="802">
        <f t="shared" si="287"/>
        <v>468.70758839623232</v>
      </c>
      <c r="AE352" s="802">
        <f t="shared" si="287"/>
        <v>471.16390055188299</v>
      </c>
      <c r="AF352" s="802">
        <f t="shared" si="287"/>
        <v>473.49445914748418</v>
      </c>
      <c r="AG352" s="802">
        <f t="shared" si="287"/>
        <v>475.61697984640085</v>
      </c>
      <c r="AH352" s="802">
        <f t="shared" si="287"/>
        <v>477.61116156409253</v>
      </c>
      <c r="AI352" s="802">
        <f t="shared" si="287"/>
        <v>479.57110750887279</v>
      </c>
      <c r="AJ352" s="802">
        <f t="shared" si="287"/>
        <v>481.42973949442325</v>
      </c>
      <c r="AK352" s="802">
        <f t="shared" si="287"/>
        <v>483.12706496096564</v>
      </c>
      <c r="AL352" s="802">
        <f t="shared" si="287"/>
        <v>483.69751422828199</v>
      </c>
      <c r="AM352" s="802">
        <f t="shared" si="287"/>
        <v>484.08994592962489</v>
      </c>
      <c r="AN352" s="802">
        <f t="shared" si="287"/>
        <v>484.59992659637288</v>
      </c>
      <c r="AO352" s="802">
        <f t="shared" si="287"/>
        <v>485.07839365312094</v>
      </c>
      <c r="AP352" s="802">
        <f t="shared" si="287"/>
        <v>485.54837548986904</v>
      </c>
      <c r="AQ352" s="802">
        <f t="shared" si="287"/>
        <v>485.98234708661704</v>
      </c>
      <c r="AR352" s="802">
        <f t="shared" si="287"/>
        <v>486.41983682336519</v>
      </c>
      <c r="AS352" s="802">
        <f t="shared" si="287"/>
        <v>486.8356395701133</v>
      </c>
      <c r="AT352" s="802">
        <f t="shared" si="287"/>
        <v>487.2215732668613</v>
      </c>
      <c r="AU352" s="802">
        <f t="shared" si="287"/>
        <v>487.59573686360937</v>
      </c>
      <c r="AV352" s="802">
        <f t="shared" si="287"/>
        <v>487.94267950035749</v>
      </c>
      <c r="AW352" s="802">
        <f t="shared" si="287"/>
        <v>488.28245935710544</v>
      </c>
      <c r="AX352" s="802">
        <f t="shared" si="287"/>
        <v>488.61178100385359</v>
      </c>
      <c r="AY352" s="802">
        <f t="shared" si="287"/>
        <v>488.9149769206017</v>
      </c>
      <c r="AZ352" s="802">
        <f t="shared" si="287"/>
        <v>489.20955960734966</v>
      </c>
      <c r="BA352" s="802">
        <f t="shared" si="287"/>
        <v>489.50143691409778</v>
      </c>
      <c r="BB352" s="802">
        <f t="shared" si="287"/>
        <v>489.81014691084584</v>
      </c>
      <c r="BC352" s="802">
        <f t="shared" si="287"/>
        <v>490.12278793759396</v>
      </c>
      <c r="BD352" s="802">
        <f t="shared" si="287"/>
        <v>490.44874712434193</v>
      </c>
      <c r="BE352" s="802">
        <f t="shared" si="287"/>
        <v>490.78083197109009</v>
      </c>
      <c r="BF352" s="802">
        <f t="shared" si="287"/>
        <v>491.12166184783814</v>
      </c>
      <c r="BG352" s="802">
        <f t="shared" si="287"/>
        <v>491.49413722458621</v>
      </c>
      <c r="BH352" s="802">
        <f t="shared" si="287"/>
        <v>491.88909774133424</v>
      </c>
      <c r="BI352" s="802">
        <f t="shared" si="287"/>
        <v>492.31705763808236</v>
      </c>
      <c r="BJ352" s="802">
        <f t="shared" si="287"/>
        <v>492.77152915483038</v>
      </c>
      <c r="BK352" s="802">
        <f t="shared" si="287"/>
        <v>493.24439391157847</v>
      </c>
      <c r="BL352" s="802">
        <f t="shared" si="287"/>
        <v>493.75097846832654</v>
      </c>
      <c r="BM352" s="802">
        <f t="shared" si="287"/>
        <v>494.29273168507456</v>
      </c>
      <c r="BN352" s="802">
        <f t="shared" si="287"/>
        <v>494.86586260182264</v>
      </c>
      <c r="BO352" s="802">
        <f t="shared" si="287"/>
        <v>495.46963464857083</v>
      </c>
      <c r="BP352" s="802">
        <f t="shared" si="287"/>
        <v>496.09697289531874</v>
      </c>
      <c r="BQ352" s="802">
        <f t="shared" si="287"/>
        <v>496.74860685206693</v>
      </c>
      <c r="BR352" s="802">
        <f t="shared" si="287"/>
        <v>497.42585512881499</v>
      </c>
      <c r="BS352" s="802">
        <f t="shared" si="287"/>
        <v>498.11851447556296</v>
      </c>
      <c r="BT352" s="802">
        <f t="shared" ref="BT352:CI352" si="288">SUM(BT348:BT351)</f>
        <v>498.82760551231104</v>
      </c>
      <c r="BU352" s="802">
        <f t="shared" si="288"/>
        <v>499.54442027905918</v>
      </c>
      <c r="BV352" s="802">
        <f t="shared" si="288"/>
        <v>500.27650355580715</v>
      </c>
      <c r="BW352" s="802">
        <f t="shared" si="288"/>
        <v>501.00775665255532</v>
      </c>
      <c r="BX352" s="802">
        <f t="shared" si="288"/>
        <v>501.74091137930338</v>
      </c>
      <c r="BY352" s="802">
        <f t="shared" si="288"/>
        <v>502.47136088605134</v>
      </c>
      <c r="BZ352" s="802">
        <f t="shared" si="288"/>
        <v>503.19373770279947</v>
      </c>
      <c r="CA352" s="802">
        <f t="shared" si="288"/>
        <v>503.91230932954767</v>
      </c>
      <c r="CB352" s="802">
        <f t="shared" si="288"/>
        <v>504.62974335629571</v>
      </c>
      <c r="CC352" s="802">
        <f t="shared" si="288"/>
        <v>505.3450689230437</v>
      </c>
      <c r="CD352" s="802">
        <f t="shared" si="288"/>
        <v>506.05386497979174</v>
      </c>
      <c r="CE352" s="802">
        <f t="shared" si="288"/>
        <v>506.74566753653994</v>
      </c>
      <c r="CF352" s="802">
        <f t="shared" si="288"/>
        <v>507.42515134328789</v>
      </c>
      <c r="CG352" s="802">
        <f t="shared" si="288"/>
        <v>508.09977101003597</v>
      </c>
      <c r="CH352" s="802">
        <f t="shared" si="288"/>
        <v>508.76975298678411</v>
      </c>
      <c r="CI352" s="803">
        <f t="shared" si="288"/>
        <v>509.42479368353213</v>
      </c>
      <c r="CJ352" s="1478"/>
      <c r="CK352" s="796"/>
    </row>
    <row r="353" spans="2:89" ht="28" x14ac:dyDescent="0.35">
      <c r="B353" s="1070" t="s">
        <v>613</v>
      </c>
      <c r="C353" s="1069" t="s">
        <v>445</v>
      </c>
      <c r="D353" s="1071" t="s">
        <v>614</v>
      </c>
      <c r="E353" s="1067" t="s">
        <v>447</v>
      </c>
      <c r="F353" s="1068">
        <v>1</v>
      </c>
      <c r="G353" s="834">
        <f>(G351+G350)/(G337+G345)</f>
        <v>2.4253273486405278</v>
      </c>
      <c r="H353" s="834">
        <f t="shared" ref="H353:BS353" si="289">(H351+H350)/(H337+H345)</f>
        <v>2.4757216922580167</v>
      </c>
      <c r="I353" s="834">
        <f t="shared" si="289"/>
        <v>2.5207774558396014</v>
      </c>
      <c r="J353" s="834">
        <f t="shared" si="289"/>
        <v>2.5341113224466767</v>
      </c>
      <c r="K353" s="834">
        <f t="shared" si="289"/>
        <v>2.5374501431410525</v>
      </c>
      <c r="L353" s="834">
        <f t="shared" si="289"/>
        <v>2.5403657093851817</v>
      </c>
      <c r="M353" s="834">
        <f t="shared" si="289"/>
        <v>2.5421518793346674</v>
      </c>
      <c r="N353" s="834">
        <f t="shared" si="289"/>
        <v>2.5404032755707733</v>
      </c>
      <c r="O353" s="834">
        <f t="shared" si="289"/>
        <v>2.5383999705194618</v>
      </c>
      <c r="P353" s="834">
        <f t="shared" si="289"/>
        <v>2.5362538684330609</v>
      </c>
      <c r="Q353" s="834">
        <f t="shared" si="289"/>
        <v>2.5325655853752638</v>
      </c>
      <c r="R353" s="834">
        <f t="shared" si="289"/>
        <v>2.5286603484603885</v>
      </c>
      <c r="S353" s="834">
        <f t="shared" si="289"/>
        <v>2.5223334632904164</v>
      </c>
      <c r="T353" s="834">
        <f t="shared" si="289"/>
        <v>2.5153560977978189</v>
      </c>
      <c r="U353" s="834">
        <f t="shared" si="289"/>
        <v>2.5094287864135763</v>
      </c>
      <c r="V353" s="834">
        <f t="shared" si="289"/>
        <v>2.5045588244079915</v>
      </c>
      <c r="W353" s="834">
        <f t="shared" si="289"/>
        <v>2.4985213602567842</v>
      </c>
      <c r="X353" s="834">
        <f t="shared" si="289"/>
        <v>2.5204487715573465</v>
      </c>
      <c r="Y353" s="834">
        <f t="shared" si="289"/>
        <v>2.5036506215398102</v>
      </c>
      <c r="Z353" s="834">
        <f t="shared" si="289"/>
        <v>2.4887405794299102</v>
      </c>
      <c r="AA353" s="834">
        <f t="shared" si="289"/>
        <v>2.4725193304856328</v>
      </c>
      <c r="AB353" s="834">
        <f t="shared" si="289"/>
        <v>2.4567241491700131</v>
      </c>
      <c r="AC353" s="834">
        <f t="shared" si="289"/>
        <v>2.4418715445967307</v>
      </c>
      <c r="AD353" s="834">
        <f t="shared" si="289"/>
        <v>2.4278040306827284</v>
      </c>
      <c r="AE353" s="834">
        <f t="shared" si="289"/>
        <v>2.4147031151214247</v>
      </c>
      <c r="AF353" s="834">
        <f t="shared" si="289"/>
        <v>2.4019678513932812</v>
      </c>
      <c r="AG353" s="834">
        <f t="shared" si="289"/>
        <v>2.3890964953578293</v>
      </c>
      <c r="AH353" s="834">
        <f t="shared" si="289"/>
        <v>2.3765070707711207</v>
      </c>
      <c r="AI353" s="834">
        <f t="shared" si="289"/>
        <v>2.3646312366123543</v>
      </c>
      <c r="AJ353" s="834">
        <f t="shared" si="289"/>
        <v>2.3531895233757716</v>
      </c>
      <c r="AK353" s="834">
        <f t="shared" si="289"/>
        <v>2.3418313779263427</v>
      </c>
      <c r="AL353" s="834">
        <f t="shared" si="289"/>
        <v>2.3320364452599702</v>
      </c>
      <c r="AM353" s="834">
        <f t="shared" si="289"/>
        <v>2.3227490777445108</v>
      </c>
      <c r="AN353" s="834">
        <f t="shared" si="289"/>
        <v>2.3136981637953431</v>
      </c>
      <c r="AO353" s="834">
        <f t="shared" si="289"/>
        <v>2.3048472820549275</v>
      </c>
      <c r="AP353" s="834">
        <f t="shared" si="289"/>
        <v>2.2960418342018287</v>
      </c>
      <c r="AQ353" s="834">
        <f t="shared" si="289"/>
        <v>2.2870458330675625</v>
      </c>
      <c r="AR353" s="834">
        <f t="shared" si="289"/>
        <v>2.2783971017831357</v>
      </c>
      <c r="AS353" s="834">
        <f t="shared" si="289"/>
        <v>2.270380765025926</v>
      </c>
      <c r="AT353" s="834">
        <f t="shared" si="289"/>
        <v>2.2627437094429581</v>
      </c>
      <c r="AU353" s="834">
        <f t="shared" si="289"/>
        <v>2.2551961177847217</v>
      </c>
      <c r="AV353" s="834">
        <f t="shared" si="289"/>
        <v>2.2478067890178197</v>
      </c>
      <c r="AW353" s="834">
        <f t="shared" si="289"/>
        <v>2.2406905764253029</v>
      </c>
      <c r="AX353" s="834">
        <f t="shared" si="289"/>
        <v>2.2336208299356284</v>
      </c>
      <c r="AY353" s="834">
        <f t="shared" si="289"/>
        <v>2.2264285396653389</v>
      </c>
      <c r="AZ353" s="834">
        <f t="shared" si="289"/>
        <v>2.2191418821098239</v>
      </c>
      <c r="BA353" s="834">
        <f t="shared" si="289"/>
        <v>2.2118000240604041</v>
      </c>
      <c r="BB353" s="834">
        <f t="shared" si="289"/>
        <v>2.2046725015567765</v>
      </c>
      <c r="BC353" s="834">
        <f t="shared" si="289"/>
        <v>2.1977695943826938</v>
      </c>
      <c r="BD353" s="834">
        <f t="shared" si="289"/>
        <v>2.1909560079857564</v>
      </c>
      <c r="BE353" s="834">
        <f t="shared" si="289"/>
        <v>2.1842166296166532</v>
      </c>
      <c r="BF353" s="834">
        <f t="shared" si="289"/>
        <v>2.1775396631359514</v>
      </c>
      <c r="BG353" s="834">
        <f t="shared" si="289"/>
        <v>2.1709985417833262</v>
      </c>
      <c r="BH353" s="834">
        <f t="shared" si="289"/>
        <v>2.1645261380293901</v>
      </c>
      <c r="BI353" s="834">
        <f t="shared" si="289"/>
        <v>2.1582227823373832</v>
      </c>
      <c r="BJ353" s="834">
        <f t="shared" si="289"/>
        <v>2.152149961441387</v>
      </c>
      <c r="BK353" s="834">
        <f t="shared" si="289"/>
        <v>2.1461501684342812</v>
      </c>
      <c r="BL353" s="834">
        <f t="shared" si="289"/>
        <v>2.1404280412870409</v>
      </c>
      <c r="BM353" s="834">
        <f t="shared" si="289"/>
        <v>2.1349023751335352</v>
      </c>
      <c r="BN353" s="834">
        <f t="shared" si="289"/>
        <v>2.1293973268291451</v>
      </c>
      <c r="BO353" s="834">
        <f t="shared" si="289"/>
        <v>2.1239703923852069</v>
      </c>
      <c r="BP353" s="834">
        <f t="shared" si="289"/>
        <v>2.1184036297232471</v>
      </c>
      <c r="BQ353" s="834">
        <f t="shared" si="289"/>
        <v>2.1127935594656733</v>
      </c>
      <c r="BR353" s="834">
        <f t="shared" si="289"/>
        <v>2.1071565184138081</v>
      </c>
      <c r="BS353" s="834">
        <f t="shared" si="289"/>
        <v>2.101607393249151</v>
      </c>
      <c r="BT353" s="834">
        <f t="shared" ref="BT353:CI353" si="290">(BT351+BT350)/(BT337+BT345)</f>
        <v>2.0960787500123224</v>
      </c>
      <c r="BU353" s="834">
        <f t="shared" si="290"/>
        <v>2.0905009512490573</v>
      </c>
      <c r="BV353" s="834">
        <f t="shared" si="290"/>
        <v>2.0848978814238297</v>
      </c>
      <c r="BW353" s="834">
        <f t="shared" si="290"/>
        <v>2.0793257845570747</v>
      </c>
      <c r="BX353" s="834">
        <f t="shared" si="290"/>
        <v>2.0737074943809279</v>
      </c>
      <c r="BY353" s="834">
        <f t="shared" si="290"/>
        <v>2.0680034128926548</v>
      </c>
      <c r="BZ353" s="834">
        <f t="shared" si="290"/>
        <v>2.0621039045733602</v>
      </c>
      <c r="CA353" s="834">
        <f t="shared" si="290"/>
        <v>2.0561837370653602</v>
      </c>
      <c r="CB353" s="834">
        <f t="shared" si="290"/>
        <v>2.0502541792595319</v>
      </c>
      <c r="CC353" s="834">
        <f t="shared" si="290"/>
        <v>2.0444811381488002</v>
      </c>
      <c r="CD353" s="834">
        <f t="shared" si="290"/>
        <v>2.0386725983681377</v>
      </c>
      <c r="CE353" s="834">
        <f t="shared" si="290"/>
        <v>2.0328397443856776</v>
      </c>
      <c r="CF353" s="834">
        <f t="shared" si="290"/>
        <v>2.0270392913375597</v>
      </c>
      <c r="CG353" s="834">
        <f t="shared" si="290"/>
        <v>2.0214403786652357</v>
      </c>
      <c r="CH353" s="834">
        <f t="shared" si="290"/>
        <v>2.0159938829948802</v>
      </c>
      <c r="CI353" s="834">
        <f t="shared" si="290"/>
        <v>2.0106439481580716</v>
      </c>
      <c r="CJ353" s="1478"/>
      <c r="CK353" s="796"/>
    </row>
    <row r="354" spans="2:89" ht="28" x14ac:dyDescent="0.35">
      <c r="B354" s="1070" t="s">
        <v>615</v>
      </c>
      <c r="C354" s="1069" t="s">
        <v>449</v>
      </c>
      <c r="D354" s="1071" t="s">
        <v>616</v>
      </c>
      <c r="E354" s="1067" t="s">
        <v>359</v>
      </c>
      <c r="F354" s="1068">
        <v>1</v>
      </c>
      <c r="G354" s="827">
        <f>G337/(G337+G345)</f>
        <v>0.74268333395155595</v>
      </c>
      <c r="H354" s="827">
        <f t="shared" ref="H354:BS354" si="291">H337/(H337+H345)</f>
        <v>0.74652520147082835</v>
      </c>
      <c r="I354" s="827">
        <f t="shared" si="291"/>
        <v>0.74945475145061524</v>
      </c>
      <c r="J354" s="827">
        <f t="shared" si="291"/>
        <v>0.76044376906966205</v>
      </c>
      <c r="K354" s="827">
        <f t="shared" si="291"/>
        <v>0.77032440681530967</v>
      </c>
      <c r="L354" s="827">
        <f t="shared" si="291"/>
        <v>0.77978063886949822</v>
      </c>
      <c r="M354" s="828">
        <f t="shared" si="291"/>
        <v>0.80226886206123971</v>
      </c>
      <c r="N354" s="828">
        <f t="shared" si="291"/>
        <v>0.8232163535560667</v>
      </c>
      <c r="O354" s="828">
        <f t="shared" si="291"/>
        <v>0.84396419100294839</v>
      </c>
      <c r="P354" s="828">
        <f t="shared" si="291"/>
        <v>0.86384478332268833</v>
      </c>
      <c r="Q354" s="828">
        <f t="shared" si="291"/>
        <v>0.88280675047746004</v>
      </c>
      <c r="R354" s="828">
        <f t="shared" si="291"/>
        <v>0.90111832128262948</v>
      </c>
      <c r="S354" s="828">
        <f t="shared" si="291"/>
        <v>0.91870101859373599</v>
      </c>
      <c r="T354" s="828">
        <f t="shared" si="291"/>
        <v>0.93569327586480588</v>
      </c>
      <c r="U354" s="828">
        <f t="shared" si="291"/>
        <v>0.95230481098679398</v>
      </c>
      <c r="V354" s="828">
        <f t="shared" si="291"/>
        <v>0.968552755980432</v>
      </c>
      <c r="W354" s="828">
        <f t="shared" si="291"/>
        <v>0.98443546299621543</v>
      </c>
      <c r="X354" s="828">
        <f t="shared" si="291"/>
        <v>1</v>
      </c>
      <c r="Y354" s="828">
        <f t="shared" si="291"/>
        <v>1</v>
      </c>
      <c r="Z354" s="828">
        <f t="shared" si="291"/>
        <v>1</v>
      </c>
      <c r="AA354" s="828">
        <f t="shared" si="291"/>
        <v>1</v>
      </c>
      <c r="AB354" s="828">
        <f t="shared" si="291"/>
        <v>1</v>
      </c>
      <c r="AC354" s="828">
        <f t="shared" si="291"/>
        <v>1</v>
      </c>
      <c r="AD354" s="828">
        <f t="shared" si="291"/>
        <v>1</v>
      </c>
      <c r="AE354" s="828">
        <f t="shared" si="291"/>
        <v>1</v>
      </c>
      <c r="AF354" s="828">
        <f t="shared" si="291"/>
        <v>1</v>
      </c>
      <c r="AG354" s="828">
        <f t="shared" si="291"/>
        <v>1</v>
      </c>
      <c r="AH354" s="828">
        <f t="shared" si="291"/>
        <v>1</v>
      </c>
      <c r="AI354" s="828">
        <f t="shared" si="291"/>
        <v>1</v>
      </c>
      <c r="AJ354" s="828">
        <f t="shared" si="291"/>
        <v>1</v>
      </c>
      <c r="AK354" s="828">
        <f t="shared" si="291"/>
        <v>1</v>
      </c>
      <c r="AL354" s="828">
        <f t="shared" si="291"/>
        <v>1</v>
      </c>
      <c r="AM354" s="828">
        <f t="shared" si="291"/>
        <v>1</v>
      </c>
      <c r="AN354" s="828">
        <f t="shared" si="291"/>
        <v>1</v>
      </c>
      <c r="AO354" s="828">
        <f t="shared" si="291"/>
        <v>1</v>
      </c>
      <c r="AP354" s="828">
        <f t="shared" si="291"/>
        <v>1</v>
      </c>
      <c r="AQ354" s="828">
        <f t="shared" si="291"/>
        <v>1</v>
      </c>
      <c r="AR354" s="828">
        <f t="shared" si="291"/>
        <v>1</v>
      </c>
      <c r="AS354" s="828">
        <f t="shared" si="291"/>
        <v>1</v>
      </c>
      <c r="AT354" s="828">
        <f t="shared" si="291"/>
        <v>1</v>
      </c>
      <c r="AU354" s="828">
        <f t="shared" si="291"/>
        <v>1</v>
      </c>
      <c r="AV354" s="828">
        <f t="shared" si="291"/>
        <v>1</v>
      </c>
      <c r="AW354" s="828">
        <f t="shared" si="291"/>
        <v>1</v>
      </c>
      <c r="AX354" s="828">
        <f t="shared" si="291"/>
        <v>1</v>
      </c>
      <c r="AY354" s="828">
        <f t="shared" si="291"/>
        <v>1</v>
      </c>
      <c r="AZ354" s="828">
        <f t="shared" si="291"/>
        <v>1</v>
      </c>
      <c r="BA354" s="828">
        <f t="shared" si="291"/>
        <v>1</v>
      </c>
      <c r="BB354" s="828">
        <f t="shared" si="291"/>
        <v>1</v>
      </c>
      <c r="BC354" s="828">
        <f t="shared" si="291"/>
        <v>1</v>
      </c>
      <c r="BD354" s="828">
        <f t="shared" si="291"/>
        <v>1</v>
      </c>
      <c r="BE354" s="828">
        <f t="shared" si="291"/>
        <v>1</v>
      </c>
      <c r="BF354" s="828">
        <f t="shared" si="291"/>
        <v>1</v>
      </c>
      <c r="BG354" s="828">
        <f t="shared" si="291"/>
        <v>1</v>
      </c>
      <c r="BH354" s="828">
        <f t="shared" si="291"/>
        <v>1</v>
      </c>
      <c r="BI354" s="828">
        <f t="shared" si="291"/>
        <v>1</v>
      </c>
      <c r="BJ354" s="828">
        <f t="shared" si="291"/>
        <v>1</v>
      </c>
      <c r="BK354" s="828">
        <f t="shared" si="291"/>
        <v>1</v>
      </c>
      <c r="BL354" s="828">
        <f t="shared" si="291"/>
        <v>1</v>
      </c>
      <c r="BM354" s="828">
        <f t="shared" si="291"/>
        <v>1</v>
      </c>
      <c r="BN354" s="828">
        <f t="shared" si="291"/>
        <v>1</v>
      </c>
      <c r="BO354" s="828">
        <f t="shared" si="291"/>
        <v>1</v>
      </c>
      <c r="BP354" s="828">
        <f t="shared" si="291"/>
        <v>1</v>
      </c>
      <c r="BQ354" s="828">
        <f t="shared" si="291"/>
        <v>1</v>
      </c>
      <c r="BR354" s="828">
        <f t="shared" si="291"/>
        <v>1</v>
      </c>
      <c r="BS354" s="828">
        <f t="shared" si="291"/>
        <v>1</v>
      </c>
      <c r="BT354" s="828">
        <f t="shared" ref="BT354:CI354" si="292">BT337/(BT337+BT345)</f>
        <v>1</v>
      </c>
      <c r="BU354" s="828">
        <f t="shared" si="292"/>
        <v>1</v>
      </c>
      <c r="BV354" s="828">
        <f t="shared" si="292"/>
        <v>1</v>
      </c>
      <c r="BW354" s="828">
        <f t="shared" si="292"/>
        <v>1</v>
      </c>
      <c r="BX354" s="828">
        <f t="shared" si="292"/>
        <v>1</v>
      </c>
      <c r="BY354" s="828">
        <f t="shared" si="292"/>
        <v>1</v>
      </c>
      <c r="BZ354" s="828">
        <f t="shared" si="292"/>
        <v>1</v>
      </c>
      <c r="CA354" s="828">
        <f t="shared" si="292"/>
        <v>1</v>
      </c>
      <c r="CB354" s="828">
        <f t="shared" si="292"/>
        <v>1</v>
      </c>
      <c r="CC354" s="828">
        <f t="shared" si="292"/>
        <v>1</v>
      </c>
      <c r="CD354" s="828">
        <f t="shared" si="292"/>
        <v>1</v>
      </c>
      <c r="CE354" s="828">
        <f t="shared" si="292"/>
        <v>1</v>
      </c>
      <c r="CF354" s="828">
        <f t="shared" si="292"/>
        <v>1</v>
      </c>
      <c r="CG354" s="828">
        <f t="shared" si="292"/>
        <v>1</v>
      </c>
      <c r="CH354" s="828">
        <f t="shared" si="292"/>
        <v>1</v>
      </c>
      <c r="CI354" s="829">
        <f t="shared" si="292"/>
        <v>1</v>
      </c>
      <c r="CJ354" s="1478"/>
      <c r="CK354" s="796"/>
    </row>
    <row r="355" spans="2:89" ht="28.5" thickBot="1" x14ac:dyDescent="0.4">
      <c r="B355" s="1072" t="s">
        <v>617</v>
      </c>
      <c r="C355" s="1073" t="s">
        <v>452</v>
      </c>
      <c r="D355" s="1074" t="s">
        <v>618</v>
      </c>
      <c r="E355" s="1075" t="s">
        <v>359</v>
      </c>
      <c r="F355" s="1076">
        <v>1</v>
      </c>
      <c r="G355" s="869">
        <f>(G337)/(G337+G346+G345+G344)</f>
        <v>0.72626103610629478</v>
      </c>
      <c r="H355" s="869">
        <f t="shared" ref="H355:BS355" si="293">(H337)/(H337+H346+H345+H344)</f>
        <v>0.72993445828742831</v>
      </c>
      <c r="I355" s="869">
        <f t="shared" si="293"/>
        <v>0.73291094776671395</v>
      </c>
      <c r="J355" s="869">
        <f t="shared" si="293"/>
        <v>0.74402614907834641</v>
      </c>
      <c r="K355" s="869">
        <f t="shared" si="293"/>
        <v>0.75401469494896367</v>
      </c>
      <c r="L355" s="869">
        <f t="shared" si="293"/>
        <v>0.76358734248049143</v>
      </c>
      <c r="M355" s="869">
        <f t="shared" si="293"/>
        <v>0.78594301473519468</v>
      </c>
      <c r="N355" s="869">
        <f t="shared" si="293"/>
        <v>0.80673565442974537</v>
      </c>
      <c r="O355" s="869">
        <f t="shared" si="293"/>
        <v>0.82738768063624635</v>
      </c>
      <c r="P355" s="869">
        <f t="shared" si="293"/>
        <v>0.84718291193848738</v>
      </c>
      <c r="Q355" s="869">
        <f t="shared" si="293"/>
        <v>0.866051513550396</v>
      </c>
      <c r="R355" s="869">
        <f t="shared" si="293"/>
        <v>0.88427779757125125</v>
      </c>
      <c r="S355" s="869">
        <f t="shared" si="293"/>
        <v>0.90175736400285067</v>
      </c>
      <c r="T355" s="869">
        <f t="shared" si="293"/>
        <v>0.9186270335011284</v>
      </c>
      <c r="U355" s="869">
        <f t="shared" si="293"/>
        <v>0.93512473206179303</v>
      </c>
      <c r="V355" s="869">
        <f t="shared" si="293"/>
        <v>0.95126821414060414</v>
      </c>
      <c r="W355" s="869">
        <f t="shared" si="293"/>
        <v>0.96704208745478748</v>
      </c>
      <c r="X355" s="869">
        <f t="shared" si="293"/>
        <v>0.98229438230782939</v>
      </c>
      <c r="Y355" s="869">
        <f t="shared" si="293"/>
        <v>0.98251386484879433</v>
      </c>
      <c r="Z355" s="869">
        <f t="shared" si="293"/>
        <v>0.98272650126988714</v>
      </c>
      <c r="AA355" s="869">
        <f t="shared" si="293"/>
        <v>0.98293284268946235</v>
      </c>
      <c r="AB355" s="869">
        <f t="shared" si="293"/>
        <v>0.98313491823924293</v>
      </c>
      <c r="AC355" s="869">
        <f t="shared" si="293"/>
        <v>0.9833264951190579</v>
      </c>
      <c r="AD355" s="869">
        <f t="shared" si="293"/>
        <v>0.98350824686326677</v>
      </c>
      <c r="AE355" s="869">
        <f t="shared" si="293"/>
        <v>0.98368096912412206</v>
      </c>
      <c r="AF355" s="869">
        <f t="shared" si="293"/>
        <v>0.9838447805768008</v>
      </c>
      <c r="AG355" s="869">
        <f t="shared" si="293"/>
        <v>0.98400047553575243</v>
      </c>
      <c r="AH355" s="869">
        <f t="shared" si="293"/>
        <v>0.98414802768263099</v>
      </c>
      <c r="AI355" s="869">
        <f t="shared" si="293"/>
        <v>0.98428815928388214</v>
      </c>
      <c r="AJ355" s="869">
        <f t="shared" si="293"/>
        <v>0.98442103831995109</v>
      </c>
      <c r="AK355" s="869">
        <f t="shared" si="293"/>
        <v>0.98454697886085196</v>
      </c>
      <c r="AL355" s="869">
        <f t="shared" si="293"/>
        <v>0.98462490565852923</v>
      </c>
      <c r="AM355" s="869">
        <f t="shared" si="293"/>
        <v>0.98469887373847431</v>
      </c>
      <c r="AN355" s="869">
        <f t="shared" si="293"/>
        <v>0.98477080166039954</v>
      </c>
      <c r="AO355" s="869">
        <f t="shared" si="293"/>
        <v>0.98484028704620064</v>
      </c>
      <c r="AP355" s="869">
        <f t="shared" si="293"/>
        <v>0.98490909944179983</v>
      </c>
      <c r="AQ355" s="869">
        <f t="shared" si="293"/>
        <v>0.98497787969244888</v>
      </c>
      <c r="AR355" s="869">
        <f t="shared" si="293"/>
        <v>0.98504443953644027</v>
      </c>
      <c r="AS355" s="869">
        <f t="shared" si="293"/>
        <v>0.98510613094146016</v>
      </c>
      <c r="AT355" s="869">
        <f t="shared" si="293"/>
        <v>0.9851643444361059</v>
      </c>
      <c r="AU355" s="869">
        <f t="shared" si="293"/>
        <v>0.98522154277699781</v>
      </c>
      <c r="AV355" s="869">
        <f t="shared" si="293"/>
        <v>0.98527679896298037</v>
      </c>
      <c r="AW355" s="869">
        <f t="shared" si="293"/>
        <v>0.98533001634333528</v>
      </c>
      <c r="AX355" s="869">
        <f t="shared" si="293"/>
        <v>0.98538255798223673</v>
      </c>
      <c r="AY355" s="869">
        <f t="shared" si="293"/>
        <v>0.98543502797609828</v>
      </c>
      <c r="AZ355" s="869">
        <f t="shared" si="293"/>
        <v>0.98548779905431172</v>
      </c>
      <c r="BA355" s="869">
        <f t="shared" si="293"/>
        <v>0.98554080479138095</v>
      </c>
      <c r="BB355" s="869">
        <f t="shared" si="293"/>
        <v>0.98559291338432353</v>
      </c>
      <c r="BC355" s="869">
        <f t="shared" si="293"/>
        <v>0.98564365688085653</v>
      </c>
      <c r="BD355" s="869">
        <f t="shared" si="293"/>
        <v>0.98569419384892498</v>
      </c>
      <c r="BE355" s="869">
        <f t="shared" si="293"/>
        <v>0.98574439781528611</v>
      </c>
      <c r="BF355" s="869">
        <f t="shared" si="293"/>
        <v>0.98579442266879624</v>
      </c>
      <c r="BG355" s="869">
        <f t="shared" si="293"/>
        <v>0.98584448722747819</v>
      </c>
      <c r="BH355" s="869">
        <f t="shared" si="293"/>
        <v>0.98589473615521728</v>
      </c>
      <c r="BI355" s="869">
        <f t="shared" si="293"/>
        <v>0.98594483335944283</v>
      </c>
      <c r="BJ355" s="869">
        <f t="shared" si="293"/>
        <v>0.98599417983465998</v>
      </c>
      <c r="BK355" s="869">
        <f t="shared" si="293"/>
        <v>0.9860435367823327</v>
      </c>
      <c r="BL355" s="869">
        <f t="shared" si="293"/>
        <v>0.98609204149964802</v>
      </c>
      <c r="BM355" s="869">
        <f t="shared" si="293"/>
        <v>0.98614024799201272</v>
      </c>
      <c r="BN355" s="869">
        <f t="shared" si="293"/>
        <v>0.98618915935970231</v>
      </c>
      <c r="BO355" s="869">
        <f t="shared" si="293"/>
        <v>0.98623837483482679</v>
      </c>
      <c r="BP355" s="869">
        <f t="shared" si="293"/>
        <v>0.98628906905074842</v>
      </c>
      <c r="BQ355" s="869">
        <f t="shared" si="293"/>
        <v>0.98634063546626405</v>
      </c>
      <c r="BR355" s="869">
        <f t="shared" si="293"/>
        <v>0.98639299719875495</v>
      </c>
      <c r="BS355" s="869">
        <f t="shared" si="293"/>
        <v>0.98644511938990587</v>
      </c>
      <c r="BT355" s="869">
        <f t="shared" ref="BT355:CI355" si="294">(BT337)/(BT337+BT346+BT345+BT344)</f>
        <v>0.98649745537730527</v>
      </c>
      <c r="BU355" s="869">
        <f t="shared" si="294"/>
        <v>0.98655019368657881</v>
      </c>
      <c r="BV355" s="869">
        <f t="shared" si="294"/>
        <v>0.98660339195027291</v>
      </c>
      <c r="BW355" s="869">
        <f t="shared" si="294"/>
        <v>0.98665623492532695</v>
      </c>
      <c r="BX355" s="869">
        <f t="shared" si="294"/>
        <v>0.98670928856056739</v>
      </c>
      <c r="BY355" s="869">
        <f t="shared" si="294"/>
        <v>0.98676267350491664</v>
      </c>
      <c r="BZ355" s="869">
        <f t="shared" si="294"/>
        <v>0.98681693273525706</v>
      </c>
      <c r="CA355" s="869">
        <f t="shared" si="294"/>
        <v>0.98687108203650342</v>
      </c>
      <c r="CB355" s="869">
        <f t="shared" si="294"/>
        <v>0.98692512518210096</v>
      </c>
      <c r="CC355" s="869">
        <f t="shared" si="294"/>
        <v>0.98697799358417959</v>
      </c>
      <c r="CD355" s="869">
        <f t="shared" si="294"/>
        <v>0.98703077811658113</v>
      </c>
      <c r="CE355" s="869">
        <f t="shared" si="294"/>
        <v>0.9870831293649962</v>
      </c>
      <c r="CF355" s="869">
        <f t="shared" si="294"/>
        <v>0.98713482434293809</v>
      </c>
      <c r="CG355" s="869">
        <f t="shared" si="294"/>
        <v>0.98718500941368648</v>
      </c>
      <c r="CH355" s="869">
        <f t="shared" si="294"/>
        <v>0.98723400417477936</v>
      </c>
      <c r="CI355" s="869">
        <f t="shared" si="294"/>
        <v>0.9872818908070411</v>
      </c>
      <c r="CJ355" s="1478"/>
      <c r="CK355" s="796"/>
    </row>
    <row r="356" spans="2:89" ht="28.5" thickBot="1" x14ac:dyDescent="0.4">
      <c r="B356" s="1077" t="s">
        <v>619</v>
      </c>
      <c r="C356" s="1078" t="s">
        <v>455</v>
      </c>
      <c r="D356" s="1078" t="s">
        <v>620</v>
      </c>
      <c r="E356" s="1078" t="s">
        <v>305</v>
      </c>
      <c r="F356" s="1079">
        <v>2</v>
      </c>
      <c r="G356" s="702">
        <f>SUM(G316:G318)+G314+G325+G330+G331+G324</f>
        <v>90.940000000000012</v>
      </c>
      <c r="H356" s="702">
        <f t="shared" ref="H356:BS356" si="295">SUM(H316:H318)+H314+H325+H330+H331+H324</f>
        <v>92.983559690000007</v>
      </c>
      <c r="I356" s="702">
        <f t="shared" si="295"/>
        <v>100.24366295</v>
      </c>
      <c r="J356" s="702">
        <f t="shared" si="295"/>
        <v>100.30928940000001</v>
      </c>
      <c r="K356" s="702">
        <f t="shared" si="295"/>
        <v>100.27857874999999</v>
      </c>
      <c r="L356" s="702">
        <f t="shared" si="295"/>
        <v>99.61397006</v>
      </c>
      <c r="M356" s="702">
        <f t="shared" si="295"/>
        <v>100.04075232999999</v>
      </c>
      <c r="N356" s="702">
        <f t="shared" si="295"/>
        <v>100.19203669000002</v>
      </c>
      <c r="O356" s="702">
        <f t="shared" si="295"/>
        <v>100.51416266</v>
      </c>
      <c r="P356" s="702">
        <f t="shared" si="295"/>
        <v>100.75793423000002</v>
      </c>
      <c r="Q356" s="702">
        <f t="shared" si="295"/>
        <v>100.71305593706833</v>
      </c>
      <c r="R356" s="702">
        <f t="shared" si="295"/>
        <v>100.84748133811769</v>
      </c>
      <c r="S356" s="702">
        <f t="shared" si="295"/>
        <v>100.77312128942313</v>
      </c>
      <c r="T356" s="702">
        <f t="shared" si="295"/>
        <v>100.53661828411303</v>
      </c>
      <c r="U356" s="702">
        <f t="shared" si="295"/>
        <v>100.35429456044817</v>
      </c>
      <c r="V356" s="702">
        <f t="shared" si="295"/>
        <v>100.11595243670153</v>
      </c>
      <c r="W356" s="702">
        <f t="shared" si="295"/>
        <v>100.21533595825305</v>
      </c>
      <c r="X356" s="702">
        <f t="shared" si="295"/>
        <v>100.27515161446219</v>
      </c>
      <c r="Y356" s="702">
        <f t="shared" si="295"/>
        <v>100.27613558903924</v>
      </c>
      <c r="Z356" s="702">
        <f t="shared" si="295"/>
        <v>100.25496633166723</v>
      </c>
      <c r="AA356" s="702">
        <f t="shared" si="295"/>
        <v>99.849669406295405</v>
      </c>
      <c r="AB356" s="702">
        <f t="shared" si="295"/>
        <v>99.804201726323384</v>
      </c>
      <c r="AC356" s="702">
        <f>SUM(AC316:AC318)+AC314+AC325+AC330+AC331+AC324</f>
        <v>99.744943801779172</v>
      </c>
      <c r="AD356" s="702">
        <f t="shared" si="295"/>
        <v>99.670842003866738</v>
      </c>
      <c r="AE356" s="702">
        <f t="shared" si="295"/>
        <v>99.586295344314834</v>
      </c>
      <c r="AF356" s="702">
        <f t="shared" si="295"/>
        <v>99.481588585940756</v>
      </c>
      <c r="AG356" s="702">
        <f t="shared" si="295"/>
        <v>99.611561526718148</v>
      </c>
      <c r="AH356" s="702">
        <f t="shared" si="295"/>
        <v>99.723337152545596</v>
      </c>
      <c r="AI356" s="702">
        <f t="shared" si="295"/>
        <v>99.82559373313866</v>
      </c>
      <c r="AJ356" s="702">
        <f t="shared" si="295"/>
        <v>99.914091282170261</v>
      </c>
      <c r="AK356" s="702">
        <f t="shared" si="295"/>
        <v>99.983988813878085</v>
      </c>
      <c r="AL356" s="702">
        <f t="shared" si="295"/>
        <v>99.99614645589169</v>
      </c>
      <c r="AM356" s="702">
        <f t="shared" si="295"/>
        <v>100.00429695981472</v>
      </c>
      <c r="AN356" s="702">
        <f t="shared" si="295"/>
        <v>100.01175541006953</v>
      </c>
      <c r="AO356" s="702">
        <f t="shared" si="295"/>
        <v>100.12571123229316</v>
      </c>
      <c r="AP356" s="702">
        <f t="shared" si="295"/>
        <v>100.24141763047547</v>
      </c>
      <c r="AQ356" s="702">
        <f t="shared" si="295"/>
        <v>100.35771257252705</v>
      </c>
      <c r="AR356" s="702">
        <f t="shared" si="295"/>
        <v>100.47388941173347</v>
      </c>
      <c r="AS356" s="702">
        <f t="shared" si="295"/>
        <v>100.58331971768094</v>
      </c>
      <c r="AT356" s="702">
        <f t="shared" si="295"/>
        <v>100.68753406335536</v>
      </c>
      <c r="AU356" s="702">
        <f t="shared" si="295"/>
        <v>100.79203498092309</v>
      </c>
      <c r="AV356" s="702">
        <f t="shared" si="295"/>
        <v>100.8939043455795</v>
      </c>
      <c r="AW356" s="702">
        <f t="shared" si="295"/>
        <v>100.99443664241178</v>
      </c>
      <c r="AX356" s="702">
        <f t="shared" si="295"/>
        <v>101.09559576231396</v>
      </c>
      <c r="AY356" s="702">
        <f t="shared" si="295"/>
        <v>101.19712513087423</v>
      </c>
      <c r="AZ356" s="702">
        <f t="shared" si="295"/>
        <v>101.30100441513233</v>
      </c>
      <c r="BA356" s="702">
        <f t="shared" si="295"/>
        <v>101.40753396778175</v>
      </c>
      <c r="BB356" s="702">
        <f t="shared" si="295"/>
        <v>101.51620549259665</v>
      </c>
      <c r="BC356" s="702">
        <f t="shared" si="295"/>
        <v>101.6250866589545</v>
      </c>
      <c r="BD356" s="702">
        <f t="shared" si="295"/>
        <v>101.73692977485786</v>
      </c>
      <c r="BE356" s="702">
        <f t="shared" si="295"/>
        <v>101.85088213428247</v>
      </c>
      <c r="BF356" s="702">
        <f t="shared" si="295"/>
        <v>101.96738000227742</v>
      </c>
      <c r="BG356" s="702">
        <f t="shared" si="295"/>
        <v>102.08861739559242</v>
      </c>
      <c r="BH356" s="702">
        <f t="shared" si="295"/>
        <v>102.21408986420587</v>
      </c>
      <c r="BI356" s="702">
        <f t="shared" si="295"/>
        <v>102.34400102222509</v>
      </c>
      <c r="BJ356" s="702">
        <f t="shared" si="295"/>
        <v>102.47669153698668</v>
      </c>
      <c r="BK356" s="702">
        <f t="shared" si="295"/>
        <v>102.61286364068872</v>
      </c>
      <c r="BL356" s="702">
        <f t="shared" si="295"/>
        <v>102.7521286359032</v>
      </c>
      <c r="BM356" s="702">
        <f t="shared" si="295"/>
        <v>102.89559315419586</v>
      </c>
      <c r="BN356" s="702">
        <f t="shared" si="295"/>
        <v>103.04479715675421</v>
      </c>
      <c r="BO356" s="702">
        <f t="shared" si="295"/>
        <v>103.19892057602692</v>
      </c>
      <c r="BP356" s="702">
        <f t="shared" si="295"/>
        <v>103.35958992907229</v>
      </c>
      <c r="BQ356" s="702">
        <f t="shared" si="295"/>
        <v>103.52572710048703</v>
      </c>
      <c r="BR356" s="702">
        <f t="shared" si="295"/>
        <v>103.69729405065937</v>
      </c>
      <c r="BS356" s="702">
        <f t="shared" si="295"/>
        <v>103.87146854604022</v>
      </c>
      <c r="BT356" s="702">
        <f t="shared" ref="BT356:CI356" si="296">SUM(BT316:BT318)+BT314+BT325+BT330+BT331+BT324</f>
        <v>104.0491767467301</v>
      </c>
      <c r="BU356" s="702">
        <f t="shared" si="296"/>
        <v>104.23004637379492</v>
      </c>
      <c r="BV356" s="702">
        <f t="shared" si="296"/>
        <v>104.41479855599192</v>
      </c>
      <c r="BW356" s="702">
        <f t="shared" si="296"/>
        <v>104.60049699711061</v>
      </c>
      <c r="BX356" s="702">
        <f t="shared" si="296"/>
        <v>104.78843967729695</v>
      </c>
      <c r="BY356" s="702">
        <f t="shared" si="296"/>
        <v>104.97845850440649</v>
      </c>
      <c r="BZ356" s="702">
        <f t="shared" si="296"/>
        <v>105.17115821208539</v>
      </c>
      <c r="CA356" s="702">
        <f t="shared" si="296"/>
        <v>105.36493209457183</v>
      </c>
      <c r="CB356" s="702">
        <f t="shared" si="296"/>
        <v>105.55997983295421</v>
      </c>
      <c r="CC356" s="702">
        <f t="shared" si="296"/>
        <v>105.75404994954795</v>
      </c>
      <c r="CD356" s="702">
        <f t="shared" si="296"/>
        <v>105.94890719450918</v>
      </c>
      <c r="CE356" s="702">
        <f t="shared" si="296"/>
        <v>106.14292973392999</v>
      </c>
      <c r="CF356" s="702">
        <f t="shared" si="296"/>
        <v>106.33601640521729</v>
      </c>
      <c r="CG356" s="702">
        <f t="shared" si="296"/>
        <v>106.5270170368951</v>
      </c>
      <c r="CH356" s="702">
        <f t="shared" si="296"/>
        <v>106.63958306598099</v>
      </c>
      <c r="CI356" s="702">
        <f t="shared" si="296"/>
        <v>106.74990993600002</v>
      </c>
      <c r="CJ356" s="1478"/>
      <c r="CK356" s="796"/>
    </row>
    <row r="357" spans="2:89" ht="28" x14ac:dyDescent="0.35">
      <c r="B357" s="1008" t="s">
        <v>457</v>
      </c>
      <c r="C357" s="1009" t="s">
        <v>458</v>
      </c>
      <c r="D357" s="1010" t="s">
        <v>82</v>
      </c>
      <c r="E357" s="1009" t="s">
        <v>305</v>
      </c>
      <c r="F357" s="1080">
        <v>2</v>
      </c>
      <c r="G357" s="706"/>
      <c r="H357" s="706"/>
      <c r="I357" s="706"/>
      <c r="J357" s="706">
        <v>2.2135082696338161E-2</v>
      </c>
      <c r="K357" s="706">
        <v>3.6881439488851558E-2</v>
      </c>
      <c r="L357" s="706">
        <v>5.0857915624120766E-2</v>
      </c>
      <c r="M357" s="707">
        <v>6.3757055008627703E-2</v>
      </c>
      <c r="N357" s="707">
        <v>7.449549052646047E-2</v>
      </c>
      <c r="O357" s="707">
        <v>8.7905949911672485E-2</v>
      </c>
      <c r="P357" s="707">
        <v>0.10104281734633672</v>
      </c>
      <c r="Q357" s="707">
        <v>0.11394731207046913</v>
      </c>
      <c r="R357" s="707">
        <v>8.8817419153509825E-2</v>
      </c>
      <c r="S357" s="707">
        <v>9.5449543433246839E-2</v>
      </c>
      <c r="T357" s="707">
        <v>0.10156698862731575</v>
      </c>
      <c r="U357" s="707">
        <v>0.11263764732675166</v>
      </c>
      <c r="V357" s="707">
        <v>0.11776034956378902</v>
      </c>
      <c r="W357" s="707">
        <v>8.4129066180161624E-2</v>
      </c>
      <c r="X357" s="707">
        <v>8.5148687543332408E-2</v>
      </c>
      <c r="Y357" s="707">
        <v>8.4673564453131483E-2</v>
      </c>
      <c r="Z357" s="707">
        <v>8.769574137812633E-2</v>
      </c>
      <c r="AA357" s="707">
        <v>0.10084640318601301</v>
      </c>
      <c r="AB357" s="707">
        <v>7.7854534460164132E-2</v>
      </c>
      <c r="AC357" s="707">
        <v>7.9215479508950193E-2</v>
      </c>
      <c r="AD357" s="707">
        <v>7.4193501118193603E-2</v>
      </c>
      <c r="AE357" s="707">
        <v>8.4433383350419194E-2</v>
      </c>
      <c r="AF357" s="707">
        <v>8.407474787576634E-2</v>
      </c>
      <c r="AG357" s="707">
        <v>9.5091692574334585E-2</v>
      </c>
      <c r="AH357" s="707">
        <v>9.5495418271717022E-2</v>
      </c>
      <c r="AI357" s="707">
        <v>9.2702197826648347E-2</v>
      </c>
      <c r="AJ357" s="707">
        <v>0.10160115959386007</v>
      </c>
      <c r="AK357" s="707">
        <v>8.4816402872966101E-2</v>
      </c>
      <c r="AL357" s="707">
        <v>0.10466097528083915</v>
      </c>
      <c r="AM357" s="707">
        <v>0.1026746880517484</v>
      </c>
      <c r="AN357" s="707">
        <v>0.10939351254041788</v>
      </c>
      <c r="AO357" s="707">
        <v>0.11223453301782205</v>
      </c>
      <c r="AP357" s="707">
        <v>0.10791177992346214</v>
      </c>
      <c r="AQ357" s="707">
        <v>0.11911057760490781</v>
      </c>
      <c r="AR357" s="707">
        <v>0.11622898966121044</v>
      </c>
      <c r="AS357" s="707">
        <v>0.11239539916477209</v>
      </c>
      <c r="AT357" s="707">
        <v>0.12403816906964336</v>
      </c>
      <c r="AU357" s="707">
        <v>0.11790743829002751</v>
      </c>
      <c r="AV357" s="707">
        <v>0.11630178794802382</v>
      </c>
      <c r="AW357" s="707">
        <v>0.11227694698412269</v>
      </c>
      <c r="AX357" s="707">
        <v>0.10611300073071227</v>
      </c>
      <c r="AY357" s="707">
        <v>0.1211983079081119</v>
      </c>
      <c r="AZ357" s="707">
        <v>0.10753818425233554</v>
      </c>
      <c r="BA357" s="707">
        <v>0.12089458440719111</v>
      </c>
      <c r="BB357" s="707">
        <v>0.11082901988532635</v>
      </c>
      <c r="BC357" s="707">
        <v>0.11798805884298127</v>
      </c>
      <c r="BD357" s="707">
        <v>0.10225488767276052</v>
      </c>
      <c r="BE357" s="707">
        <v>8.2559418634923068E-2</v>
      </c>
      <c r="BF357" s="707">
        <v>0.10806049951357385</v>
      </c>
      <c r="BG357" s="707">
        <v>9.1645745072899604E-2</v>
      </c>
      <c r="BH357" s="707">
        <v>0.10896077842156252</v>
      </c>
      <c r="BI357" s="707">
        <v>0.10806405896355263</v>
      </c>
      <c r="BJ357" s="707">
        <v>8.3771221954906466E-2</v>
      </c>
      <c r="BK357" s="707">
        <v>0.11206428522379627</v>
      </c>
      <c r="BL357" s="707">
        <v>8.6764264386837084E-2</v>
      </c>
      <c r="BM357" s="707">
        <v>8.5728153387587214E-2</v>
      </c>
      <c r="BN357" s="707">
        <v>8.9678045031455905E-2</v>
      </c>
      <c r="BO357" s="707">
        <v>0.10228666565542566</v>
      </c>
      <c r="BP357" s="707">
        <v>9.9888680175159242E-2</v>
      </c>
      <c r="BQ357" s="707">
        <v>9.826738527677864E-2</v>
      </c>
      <c r="BR357" s="707">
        <v>7.5238726055267491E-2</v>
      </c>
      <c r="BS357" s="707">
        <v>0.10172876119539634</v>
      </c>
      <c r="BT357" s="707">
        <v>8.5313963498530404E-2</v>
      </c>
      <c r="BU357" s="707">
        <v>6.372852771377617E-2</v>
      </c>
      <c r="BV357" s="707">
        <v>9.5510302030576116E-2</v>
      </c>
      <c r="BW357" s="707">
        <v>9.0951353832977685E-2</v>
      </c>
      <c r="BX357" s="707">
        <v>6.6534496936441076E-2</v>
      </c>
      <c r="BY357" s="707">
        <v>8.5298756269272302E-2</v>
      </c>
      <c r="BZ357" s="707">
        <v>9.7393479485098383E-2</v>
      </c>
      <c r="CA357" s="707">
        <v>9.8453678863815619E-2</v>
      </c>
      <c r="CB357" s="707">
        <v>9.3661534629776236E-2</v>
      </c>
      <c r="CC357" s="707">
        <v>8.6687281516139136E-2</v>
      </c>
      <c r="CD357" s="707">
        <v>6.474712390746748E-2</v>
      </c>
      <c r="CE357" s="707">
        <v>8.6741726875946654E-2</v>
      </c>
      <c r="CF357" s="707">
        <v>7.4382642780634681E-2</v>
      </c>
      <c r="CG357" s="707">
        <v>8.8427596801565228E-2</v>
      </c>
      <c r="CH357" s="707">
        <v>7.4244855699800383E-2</v>
      </c>
      <c r="CI357" s="708">
        <v>0.10118288218578361</v>
      </c>
      <c r="CJ357" s="1478">
        <v>0.12650506779649806</v>
      </c>
    </row>
    <row r="358" spans="2:89" x14ac:dyDescent="0.35">
      <c r="B358" s="990" t="s">
        <v>459</v>
      </c>
      <c r="C358" s="991" t="s">
        <v>460</v>
      </c>
      <c r="D358" s="992" t="s">
        <v>82</v>
      </c>
      <c r="E358" s="991" t="s">
        <v>305</v>
      </c>
      <c r="F358" s="987">
        <v>2</v>
      </c>
      <c r="G358" s="712"/>
      <c r="H358" s="712"/>
      <c r="I358" s="712"/>
      <c r="J358" s="712">
        <v>4.6335873644511514</v>
      </c>
      <c r="K358" s="712">
        <v>5.1790850850572587</v>
      </c>
      <c r="L358" s="712">
        <v>4.8133830670337892</v>
      </c>
      <c r="M358" s="713">
        <v>4.8489368568843823</v>
      </c>
      <c r="N358" s="713">
        <v>4.7913786393431703</v>
      </c>
      <c r="O358" s="713">
        <v>4.6987774056388583</v>
      </c>
      <c r="P358" s="713">
        <v>4.7900352242085127</v>
      </c>
      <c r="Q358" s="713">
        <v>4.8124760208485906</v>
      </c>
      <c r="R358" s="713">
        <v>3.4973333763844003</v>
      </c>
      <c r="S358" s="713">
        <v>3.4074564724788932</v>
      </c>
      <c r="T358" s="713">
        <v>3.4130435684781646</v>
      </c>
      <c r="U358" s="713">
        <v>3.4605846347147082</v>
      </c>
      <c r="V358" s="713">
        <v>3.3520591164242908</v>
      </c>
      <c r="W358" s="713">
        <v>2.2175831289376084</v>
      </c>
      <c r="X358" s="713">
        <v>2.1223662601227176</v>
      </c>
      <c r="Y358" s="713">
        <v>2.0172495465843987</v>
      </c>
      <c r="Z358" s="713">
        <v>1.9757944183200638</v>
      </c>
      <c r="AA358" s="713">
        <v>2.2189024118484371</v>
      </c>
      <c r="AB358" s="713">
        <v>1.6087885921100158</v>
      </c>
      <c r="AC358" s="713">
        <v>1.4827814271520099</v>
      </c>
      <c r="AD358" s="713">
        <v>1.3525114191510865</v>
      </c>
      <c r="AE358" s="713">
        <v>1.5543349214009008</v>
      </c>
      <c r="AF358" s="713">
        <v>1.3909339080165537</v>
      </c>
      <c r="AG358" s="713">
        <v>1.5569861251309154</v>
      </c>
      <c r="AH358" s="713">
        <v>1.509049662139313</v>
      </c>
      <c r="AI358" s="713">
        <v>1.4651213209555518</v>
      </c>
      <c r="AJ358" s="713">
        <v>1.52292732695757</v>
      </c>
      <c r="AK358" s="713">
        <v>1.2373674034652939</v>
      </c>
      <c r="AL358" s="713">
        <v>1.4792476516341508</v>
      </c>
      <c r="AM358" s="713">
        <v>1.4529782093750117</v>
      </c>
      <c r="AN358" s="713">
        <v>1.4593805442974721</v>
      </c>
      <c r="AO358" s="713">
        <v>1.480448791559688</v>
      </c>
      <c r="AP358" s="713">
        <v>1.3743783300247079</v>
      </c>
      <c r="AQ358" s="713">
        <v>1.4879189490995923</v>
      </c>
      <c r="AR358" s="713">
        <v>1.4121736775933995</v>
      </c>
      <c r="AS358" s="713">
        <v>1.3689070514868178</v>
      </c>
      <c r="AT358" s="713">
        <v>1.4505494829146668</v>
      </c>
      <c r="AU358" s="713">
        <v>1.3416359187509224</v>
      </c>
      <c r="AV358" s="713">
        <v>1.3243713285718961</v>
      </c>
      <c r="AW358" s="713">
        <v>1.2278146221096773</v>
      </c>
      <c r="AX358" s="713">
        <v>1.1798400122903077</v>
      </c>
      <c r="AY358" s="713">
        <v>1.3279845531254781</v>
      </c>
      <c r="AZ358" s="713">
        <v>1.1002866053770344</v>
      </c>
      <c r="BA358" s="713">
        <v>1.208375216177809</v>
      </c>
      <c r="BB358" s="713">
        <v>1.0888621591811036</v>
      </c>
      <c r="BC358" s="713">
        <v>1.1196407314986185</v>
      </c>
      <c r="BD358" s="713">
        <v>0.99383782173510959</v>
      </c>
      <c r="BE358" s="713">
        <v>0.74738656290779992</v>
      </c>
      <c r="BF358" s="713">
        <v>0.99131444817269609</v>
      </c>
      <c r="BG358" s="713">
        <v>0.86353800317563245</v>
      </c>
      <c r="BH358" s="713">
        <v>0.98554218066083754</v>
      </c>
      <c r="BI358" s="713">
        <v>0.97458071824082726</v>
      </c>
      <c r="BJ358" s="713">
        <v>0.72627036091242947</v>
      </c>
      <c r="BK358" s="713">
        <v>0.96426912252145369</v>
      </c>
      <c r="BL358" s="713">
        <v>0.72881224107248799</v>
      </c>
      <c r="BM358" s="713">
        <v>0.70374333508990483</v>
      </c>
      <c r="BN358" s="713">
        <v>0.72163389871224304</v>
      </c>
      <c r="BO358" s="713">
        <v>0.8139058542163673</v>
      </c>
      <c r="BP358" s="713">
        <v>0.78464521855571567</v>
      </c>
      <c r="BQ358" s="713">
        <v>0.74247262114183843</v>
      </c>
      <c r="BR358" s="713">
        <v>0.55880280794923254</v>
      </c>
      <c r="BS358" s="713">
        <v>0.76825761726083974</v>
      </c>
      <c r="BT358" s="713">
        <v>0.65640099232824267</v>
      </c>
      <c r="BU358" s="713">
        <v>0.46363366280996482</v>
      </c>
      <c r="BV358" s="713">
        <v>0.70755832881601188</v>
      </c>
      <c r="BW358" s="713">
        <v>0.62933462946811936</v>
      </c>
      <c r="BX358" s="713">
        <v>0.48716576785158994</v>
      </c>
      <c r="BY358" s="713">
        <v>0.61104225660047173</v>
      </c>
      <c r="BZ358" s="713">
        <v>0.71513439680084867</v>
      </c>
      <c r="CA358" s="713">
        <v>0.7155512640710634</v>
      </c>
      <c r="CB358" s="713">
        <v>0.63232293123867878</v>
      </c>
      <c r="CC358" s="713">
        <v>0.60007897841160984</v>
      </c>
      <c r="CD358" s="713">
        <v>0.43604246579971451</v>
      </c>
      <c r="CE358" s="713">
        <v>0.5851618247657614</v>
      </c>
      <c r="CF358" s="713">
        <v>0.50942516539698934</v>
      </c>
      <c r="CG358" s="713">
        <v>0.56184770456689881</v>
      </c>
      <c r="CH358" s="713">
        <v>0.49752244637141257</v>
      </c>
      <c r="CI358" s="714">
        <v>0.70766926161833332</v>
      </c>
      <c r="CJ358" s="1478">
        <v>0.86863952555156598</v>
      </c>
    </row>
    <row r="359" spans="2:89" x14ac:dyDescent="0.35">
      <c r="B359" s="990" t="s">
        <v>621</v>
      </c>
      <c r="C359" s="991" t="s">
        <v>462</v>
      </c>
      <c r="D359" s="992" t="s">
        <v>622</v>
      </c>
      <c r="E359" s="991" t="s">
        <v>305</v>
      </c>
      <c r="F359" s="987">
        <v>2</v>
      </c>
      <c r="G359" s="879">
        <f>G358+G357</f>
        <v>0</v>
      </c>
      <c r="H359" s="879">
        <f t="shared" ref="H359:BS359" si="297">H358+H357</f>
        <v>0</v>
      </c>
      <c r="I359" s="879">
        <f t="shared" si="297"/>
        <v>0</v>
      </c>
      <c r="J359" s="879">
        <f t="shared" si="297"/>
        <v>4.6557224471474896</v>
      </c>
      <c r="K359" s="879">
        <f t="shared" si="297"/>
        <v>5.2159665245461104</v>
      </c>
      <c r="L359" s="879">
        <f t="shared" si="297"/>
        <v>4.8642409826579103</v>
      </c>
      <c r="M359" s="879">
        <f t="shared" si="297"/>
        <v>4.91269391189301</v>
      </c>
      <c r="N359" s="879">
        <f t="shared" si="297"/>
        <v>4.8658741298696304</v>
      </c>
      <c r="O359" s="879">
        <f t="shared" si="297"/>
        <v>4.7866833555505304</v>
      </c>
      <c r="P359" s="879">
        <f t="shared" si="297"/>
        <v>4.8910780415548496</v>
      </c>
      <c r="Q359" s="879">
        <f t="shared" si="297"/>
        <v>4.9264233329190601</v>
      </c>
      <c r="R359" s="879">
        <f t="shared" si="297"/>
        <v>3.5861507955379102</v>
      </c>
      <c r="S359" s="879">
        <f t="shared" si="297"/>
        <v>3.5029060159121399</v>
      </c>
      <c r="T359" s="879">
        <f t="shared" si="297"/>
        <v>3.5146105571054802</v>
      </c>
      <c r="U359" s="879">
        <f t="shared" si="297"/>
        <v>3.5732222820414599</v>
      </c>
      <c r="V359" s="879">
        <f t="shared" si="297"/>
        <v>3.4698194659880799</v>
      </c>
      <c r="W359" s="879">
        <f t="shared" si="297"/>
        <v>2.3017121951177701</v>
      </c>
      <c r="X359" s="879">
        <f t="shared" si="297"/>
        <v>2.2075149476660498</v>
      </c>
      <c r="Y359" s="879">
        <f t="shared" si="297"/>
        <v>2.10192311103753</v>
      </c>
      <c r="Z359" s="879">
        <f t="shared" si="297"/>
        <v>2.0634901596981901</v>
      </c>
      <c r="AA359" s="879">
        <f t="shared" si="297"/>
        <v>2.3197488150344503</v>
      </c>
      <c r="AB359" s="879">
        <f t="shared" si="297"/>
        <v>1.68664312657018</v>
      </c>
      <c r="AC359" s="879">
        <f t="shared" si="297"/>
        <v>1.56199690666096</v>
      </c>
      <c r="AD359" s="879">
        <f t="shared" si="297"/>
        <v>1.4267049202692801</v>
      </c>
      <c r="AE359" s="879">
        <f t="shared" si="297"/>
        <v>1.63876830475132</v>
      </c>
      <c r="AF359" s="879">
        <f t="shared" si="297"/>
        <v>1.4750086558923201</v>
      </c>
      <c r="AG359" s="879">
        <f t="shared" si="297"/>
        <v>1.65207781770525</v>
      </c>
      <c r="AH359" s="879">
        <f t="shared" si="297"/>
        <v>1.6045450804110299</v>
      </c>
      <c r="AI359" s="879">
        <f t="shared" si="297"/>
        <v>1.5578235187822003</v>
      </c>
      <c r="AJ359" s="879">
        <f t="shared" si="297"/>
        <v>1.62452848655143</v>
      </c>
      <c r="AK359" s="879">
        <f t="shared" si="297"/>
        <v>1.32218380633826</v>
      </c>
      <c r="AL359" s="879">
        <f t="shared" si="297"/>
        <v>1.58390862691499</v>
      </c>
      <c r="AM359" s="879">
        <f t="shared" si="297"/>
        <v>1.5556528974267601</v>
      </c>
      <c r="AN359" s="879">
        <f t="shared" si="297"/>
        <v>1.5687740568378901</v>
      </c>
      <c r="AO359" s="879">
        <f t="shared" si="297"/>
        <v>1.5926833245775101</v>
      </c>
      <c r="AP359" s="879">
        <f t="shared" si="297"/>
        <v>1.48229010994817</v>
      </c>
      <c r="AQ359" s="879">
        <f t="shared" si="297"/>
        <v>1.6070295267045001</v>
      </c>
      <c r="AR359" s="879">
        <f t="shared" si="297"/>
        <v>1.52840266725461</v>
      </c>
      <c r="AS359" s="879">
        <f t="shared" si="297"/>
        <v>1.4813024506515899</v>
      </c>
      <c r="AT359" s="879">
        <f t="shared" si="297"/>
        <v>1.5745876519843101</v>
      </c>
      <c r="AU359" s="879">
        <f t="shared" si="297"/>
        <v>1.45954335704095</v>
      </c>
      <c r="AV359" s="879">
        <f t="shared" si="297"/>
        <v>1.4406731165199198</v>
      </c>
      <c r="AW359" s="879">
        <f t="shared" si="297"/>
        <v>1.3400915690938</v>
      </c>
      <c r="AX359" s="879">
        <f t="shared" si="297"/>
        <v>1.2859530130210199</v>
      </c>
      <c r="AY359" s="879">
        <f t="shared" si="297"/>
        <v>1.44918286103359</v>
      </c>
      <c r="AZ359" s="879">
        <f t="shared" si="297"/>
        <v>1.2078247896293699</v>
      </c>
      <c r="BA359" s="879">
        <f t="shared" si="297"/>
        <v>1.3292698005850001</v>
      </c>
      <c r="BB359" s="879">
        <f t="shared" si="297"/>
        <v>1.19969117906643</v>
      </c>
      <c r="BC359" s="879">
        <f t="shared" si="297"/>
        <v>1.2376287903415999</v>
      </c>
      <c r="BD359" s="879">
        <f t="shared" si="297"/>
        <v>1.0960927094078701</v>
      </c>
      <c r="BE359" s="879">
        <f t="shared" si="297"/>
        <v>0.82994598154272303</v>
      </c>
      <c r="BF359" s="879">
        <f t="shared" si="297"/>
        <v>1.09937494768627</v>
      </c>
      <c r="BG359" s="879">
        <f t="shared" si="297"/>
        <v>0.95518374824853203</v>
      </c>
      <c r="BH359" s="879">
        <f t="shared" si="297"/>
        <v>1.0945029590824</v>
      </c>
      <c r="BI359" s="879">
        <f t="shared" si="297"/>
        <v>1.0826447772043799</v>
      </c>
      <c r="BJ359" s="879">
        <f t="shared" si="297"/>
        <v>0.81004158286733596</v>
      </c>
      <c r="BK359" s="879">
        <f t="shared" si="297"/>
        <v>1.07633340774525</v>
      </c>
      <c r="BL359" s="879">
        <f t="shared" si="297"/>
        <v>0.81557650545932503</v>
      </c>
      <c r="BM359" s="879">
        <f t="shared" si="297"/>
        <v>0.78947148847749204</v>
      </c>
      <c r="BN359" s="879">
        <f t="shared" si="297"/>
        <v>0.81131194374369897</v>
      </c>
      <c r="BO359" s="879">
        <f t="shared" si="297"/>
        <v>0.91619251987179295</v>
      </c>
      <c r="BP359" s="879">
        <f t="shared" si="297"/>
        <v>0.88453389873087496</v>
      </c>
      <c r="BQ359" s="879">
        <f t="shared" si="297"/>
        <v>0.84074000641861701</v>
      </c>
      <c r="BR359" s="879">
        <f t="shared" si="297"/>
        <v>0.63404153400450003</v>
      </c>
      <c r="BS359" s="879">
        <f t="shared" si="297"/>
        <v>0.86998637845623605</v>
      </c>
      <c r="BT359" s="879">
        <f t="shared" ref="BT359:CI359" si="298">BT358+BT357</f>
        <v>0.74171495582677305</v>
      </c>
      <c r="BU359" s="879">
        <f t="shared" si="298"/>
        <v>0.527362190523741</v>
      </c>
      <c r="BV359" s="879">
        <f t="shared" si="298"/>
        <v>0.80306863084658797</v>
      </c>
      <c r="BW359" s="879">
        <f t="shared" si="298"/>
        <v>0.72028598330109705</v>
      </c>
      <c r="BX359" s="879">
        <f t="shared" si="298"/>
        <v>0.55370026478803103</v>
      </c>
      <c r="BY359" s="879">
        <f t="shared" si="298"/>
        <v>0.69634101286974404</v>
      </c>
      <c r="BZ359" s="879">
        <f t="shared" si="298"/>
        <v>0.81252787628594703</v>
      </c>
      <c r="CA359" s="879">
        <f t="shared" si="298"/>
        <v>0.81400494293487902</v>
      </c>
      <c r="CB359" s="879">
        <f t="shared" si="298"/>
        <v>0.725984465868455</v>
      </c>
      <c r="CC359" s="879">
        <f t="shared" si="298"/>
        <v>0.68676625992774898</v>
      </c>
      <c r="CD359" s="879">
        <f t="shared" si="298"/>
        <v>0.50078958970718201</v>
      </c>
      <c r="CE359" s="879">
        <f t="shared" si="298"/>
        <v>0.67190355164170801</v>
      </c>
      <c r="CF359" s="879">
        <f t="shared" si="298"/>
        <v>0.58380780817762401</v>
      </c>
      <c r="CG359" s="879">
        <f t="shared" si="298"/>
        <v>0.65027530136846401</v>
      </c>
      <c r="CH359" s="879">
        <f t="shared" si="298"/>
        <v>0.57176730207121296</v>
      </c>
      <c r="CI359" s="879">
        <f t="shared" si="298"/>
        <v>0.80885214380411696</v>
      </c>
      <c r="CJ359" s="1478"/>
    </row>
    <row r="360" spans="2:89" x14ac:dyDescent="0.35">
      <c r="B360" s="1161" t="s">
        <v>623</v>
      </c>
      <c r="C360" s="1162" t="s">
        <v>465</v>
      </c>
      <c r="D360" s="1163" t="s">
        <v>624</v>
      </c>
      <c r="E360" s="1162" t="s">
        <v>305</v>
      </c>
      <c r="F360" s="1164">
        <v>2</v>
      </c>
      <c r="G360" s="880">
        <f>G313-G356</f>
        <v>54.439999999999984</v>
      </c>
      <c r="H360" s="880">
        <f t="shared" ref="H360:BS360" si="299">H313-H356</f>
        <v>52.396440309999988</v>
      </c>
      <c r="I360" s="880">
        <f t="shared" si="299"/>
        <v>45.136337049999995</v>
      </c>
      <c r="J360" s="880">
        <f t="shared" si="299"/>
        <v>45.070710599999984</v>
      </c>
      <c r="K360" s="880">
        <f t="shared" si="299"/>
        <v>45.101421250000001</v>
      </c>
      <c r="L360" s="880">
        <f t="shared" si="299"/>
        <v>45.766029939999996</v>
      </c>
      <c r="M360" s="881">
        <f t="shared" si="299"/>
        <v>32.787095008129498</v>
      </c>
      <c r="N360" s="881">
        <f t="shared" si="299"/>
        <v>32.487910648129471</v>
      </c>
      <c r="O360" s="881">
        <f t="shared" si="299"/>
        <v>31.657884678129491</v>
      </c>
      <c r="P360" s="881">
        <f t="shared" si="299"/>
        <v>31.266213108129477</v>
      </c>
      <c r="Q360" s="881">
        <f t="shared" si="299"/>
        <v>31.163191401061141</v>
      </c>
      <c r="R360" s="881">
        <f t="shared" si="299"/>
        <v>24.390866000011798</v>
      </c>
      <c r="S360" s="881">
        <f t="shared" si="299"/>
        <v>37.797326048706367</v>
      </c>
      <c r="T360" s="881">
        <f t="shared" si="299"/>
        <v>38.885929054016472</v>
      </c>
      <c r="U360" s="881">
        <f t="shared" si="299"/>
        <v>38.920352777681344</v>
      </c>
      <c r="V360" s="881">
        <f t="shared" si="299"/>
        <v>39.010794901427985</v>
      </c>
      <c r="W360" s="881">
        <f t="shared" si="299"/>
        <v>38.763511379876448</v>
      </c>
      <c r="X360" s="881">
        <f t="shared" si="299"/>
        <v>56.555795723667316</v>
      </c>
      <c r="Y360" s="881">
        <f t="shared" si="299"/>
        <v>56.40691174909027</v>
      </c>
      <c r="Z360" s="881">
        <f t="shared" si="299"/>
        <v>56.280181006462286</v>
      </c>
      <c r="AA360" s="881">
        <f t="shared" si="299"/>
        <v>56.537577931834093</v>
      </c>
      <c r="AB360" s="881">
        <f t="shared" si="299"/>
        <v>31.54579827367661</v>
      </c>
      <c r="AC360" s="881">
        <f>AC313-AC356</f>
        <v>31.605056198220822</v>
      </c>
      <c r="AD360" s="881">
        <f t="shared" si="299"/>
        <v>31.679157996133256</v>
      </c>
      <c r="AE360" s="881">
        <f t="shared" si="299"/>
        <v>31.76370465568516</v>
      </c>
      <c r="AF360" s="881">
        <f t="shared" si="299"/>
        <v>31.868411414059238</v>
      </c>
      <c r="AG360" s="881">
        <f t="shared" si="299"/>
        <v>31.738438473281846</v>
      </c>
      <c r="AH360" s="881">
        <f t="shared" si="299"/>
        <v>31.626662847454398</v>
      </c>
      <c r="AI360" s="881">
        <f t="shared" si="299"/>
        <v>31.524406266861334</v>
      </c>
      <c r="AJ360" s="881">
        <f t="shared" si="299"/>
        <v>31.435908717829733</v>
      </c>
      <c r="AK360" s="881">
        <f t="shared" si="299"/>
        <v>31.366011186121909</v>
      </c>
      <c r="AL360" s="881">
        <f t="shared" si="299"/>
        <v>31.353853544108304</v>
      </c>
      <c r="AM360" s="881">
        <f t="shared" si="299"/>
        <v>31.345703040185271</v>
      </c>
      <c r="AN360" s="881">
        <f t="shared" si="299"/>
        <v>31.338244589930468</v>
      </c>
      <c r="AO360" s="881">
        <f t="shared" si="299"/>
        <v>31.224288767706838</v>
      </c>
      <c r="AP360" s="881">
        <f t="shared" si="299"/>
        <v>31.108582369524527</v>
      </c>
      <c r="AQ360" s="881">
        <f t="shared" si="299"/>
        <v>30.992287427472945</v>
      </c>
      <c r="AR360" s="881">
        <f t="shared" si="299"/>
        <v>30.876110588266528</v>
      </c>
      <c r="AS360" s="881">
        <f t="shared" si="299"/>
        <v>30.766680282319058</v>
      </c>
      <c r="AT360" s="881">
        <f t="shared" si="299"/>
        <v>30.662465936644637</v>
      </c>
      <c r="AU360" s="881">
        <f t="shared" si="299"/>
        <v>30.557965019076903</v>
      </c>
      <c r="AV360" s="881">
        <f t="shared" si="299"/>
        <v>30.456095654420494</v>
      </c>
      <c r="AW360" s="881">
        <f t="shared" si="299"/>
        <v>30.35556335758821</v>
      </c>
      <c r="AX360" s="881">
        <f t="shared" si="299"/>
        <v>30.254404237686032</v>
      </c>
      <c r="AY360" s="881">
        <f t="shared" si="299"/>
        <v>30.152874869125768</v>
      </c>
      <c r="AZ360" s="881">
        <f t="shared" si="299"/>
        <v>30.048995584867669</v>
      </c>
      <c r="BA360" s="881">
        <f t="shared" si="299"/>
        <v>29.942466032218249</v>
      </c>
      <c r="BB360" s="881">
        <f t="shared" si="299"/>
        <v>29.83379450740334</v>
      </c>
      <c r="BC360" s="881">
        <f t="shared" si="299"/>
        <v>29.724913341045493</v>
      </c>
      <c r="BD360" s="881">
        <f t="shared" si="299"/>
        <v>29.613070225142138</v>
      </c>
      <c r="BE360" s="881">
        <f t="shared" si="299"/>
        <v>29.499117865717523</v>
      </c>
      <c r="BF360" s="881">
        <f t="shared" si="299"/>
        <v>29.382619997722571</v>
      </c>
      <c r="BG360" s="881">
        <f t="shared" si="299"/>
        <v>29.261382604407572</v>
      </c>
      <c r="BH360" s="881">
        <f t="shared" si="299"/>
        <v>29.13591013579412</v>
      </c>
      <c r="BI360" s="881">
        <f t="shared" si="299"/>
        <v>29.005998977774908</v>
      </c>
      <c r="BJ360" s="881">
        <f t="shared" si="299"/>
        <v>28.873308463013316</v>
      </c>
      <c r="BK360" s="881">
        <f t="shared" si="299"/>
        <v>28.737136359311279</v>
      </c>
      <c r="BL360" s="881">
        <f t="shared" si="299"/>
        <v>28.59787136409679</v>
      </c>
      <c r="BM360" s="881">
        <f t="shared" si="299"/>
        <v>28.454406845804129</v>
      </c>
      <c r="BN360" s="881">
        <f t="shared" si="299"/>
        <v>28.30520284324578</v>
      </c>
      <c r="BO360" s="881">
        <f t="shared" si="299"/>
        <v>28.151079423973073</v>
      </c>
      <c r="BP360" s="881">
        <f t="shared" si="299"/>
        <v>27.990410070927709</v>
      </c>
      <c r="BQ360" s="881">
        <f t="shared" si="299"/>
        <v>27.824272899512962</v>
      </c>
      <c r="BR360" s="881">
        <f t="shared" si="299"/>
        <v>27.652705949340628</v>
      </c>
      <c r="BS360" s="881">
        <f t="shared" si="299"/>
        <v>27.478531453959775</v>
      </c>
      <c r="BT360" s="881">
        <f t="shared" ref="BT360:CI360" si="300">BT313-BT356</f>
        <v>27.300823253269897</v>
      </c>
      <c r="BU360" s="881">
        <f t="shared" si="300"/>
        <v>27.119953626205074</v>
      </c>
      <c r="BV360" s="881">
        <f t="shared" si="300"/>
        <v>26.935201444008072</v>
      </c>
      <c r="BW360" s="881">
        <f t="shared" si="300"/>
        <v>26.749503002889384</v>
      </c>
      <c r="BX360" s="881">
        <f t="shared" si="300"/>
        <v>26.561560322703045</v>
      </c>
      <c r="BY360" s="881">
        <f t="shared" si="300"/>
        <v>26.371541495593505</v>
      </c>
      <c r="BZ360" s="881">
        <f t="shared" si="300"/>
        <v>26.178841787914607</v>
      </c>
      <c r="CA360" s="881">
        <f t="shared" si="300"/>
        <v>25.985067905428167</v>
      </c>
      <c r="CB360" s="881">
        <f t="shared" si="300"/>
        <v>25.790020167045782</v>
      </c>
      <c r="CC360" s="881">
        <f t="shared" si="300"/>
        <v>25.595950050452046</v>
      </c>
      <c r="CD360" s="881">
        <f t="shared" si="300"/>
        <v>25.401092805490819</v>
      </c>
      <c r="CE360" s="881">
        <f t="shared" si="300"/>
        <v>25.207070266070005</v>
      </c>
      <c r="CF360" s="881">
        <f t="shared" si="300"/>
        <v>25.013983594782701</v>
      </c>
      <c r="CG360" s="881">
        <f t="shared" si="300"/>
        <v>24.822982963104891</v>
      </c>
      <c r="CH360" s="881">
        <f t="shared" si="300"/>
        <v>24.710416934019008</v>
      </c>
      <c r="CI360" s="882">
        <f t="shared" si="300"/>
        <v>24.600090063999971</v>
      </c>
      <c r="CJ360" s="1478"/>
    </row>
    <row r="361" spans="2:89" ht="14.5" thickBot="1" x14ac:dyDescent="0.4">
      <c r="B361" s="990" t="s">
        <v>625</v>
      </c>
      <c r="C361" s="991" t="s">
        <v>468</v>
      </c>
      <c r="D361" s="992" t="s">
        <v>626</v>
      </c>
      <c r="E361" s="991" t="s">
        <v>305</v>
      </c>
      <c r="F361" s="987">
        <v>2</v>
      </c>
      <c r="G361" s="880">
        <f t="shared" ref="G361:AL361" si="301">G304-G315</f>
        <v>0</v>
      </c>
      <c r="H361" s="880">
        <f t="shared" si="301"/>
        <v>0</v>
      </c>
      <c r="I361" s="880">
        <f t="shared" si="301"/>
        <v>0</v>
      </c>
      <c r="J361" s="880">
        <f t="shared" si="301"/>
        <v>0</v>
      </c>
      <c r="K361" s="880">
        <f t="shared" si="301"/>
        <v>0</v>
      </c>
      <c r="L361" s="880">
        <f t="shared" si="301"/>
        <v>0</v>
      </c>
      <c r="M361" s="880">
        <f t="shared" si="301"/>
        <v>0</v>
      </c>
      <c r="N361" s="880">
        <f t="shared" si="301"/>
        <v>0</v>
      </c>
      <c r="O361" s="880">
        <f t="shared" si="301"/>
        <v>0</v>
      </c>
      <c r="P361" s="880">
        <f t="shared" si="301"/>
        <v>0</v>
      </c>
      <c r="Q361" s="880">
        <f t="shared" si="301"/>
        <v>0</v>
      </c>
      <c r="R361" s="880">
        <f t="shared" si="301"/>
        <v>0</v>
      </c>
      <c r="S361" s="880">
        <f t="shared" si="301"/>
        <v>0</v>
      </c>
      <c r="T361" s="880">
        <f t="shared" si="301"/>
        <v>0</v>
      </c>
      <c r="U361" s="880">
        <f t="shared" si="301"/>
        <v>0</v>
      </c>
      <c r="V361" s="880">
        <f t="shared" si="301"/>
        <v>0</v>
      </c>
      <c r="W361" s="880">
        <f t="shared" si="301"/>
        <v>0</v>
      </c>
      <c r="X361" s="880">
        <f t="shared" si="301"/>
        <v>0</v>
      </c>
      <c r="Y361" s="880">
        <f t="shared" si="301"/>
        <v>0</v>
      </c>
      <c r="Z361" s="880">
        <f t="shared" si="301"/>
        <v>0</v>
      </c>
      <c r="AA361" s="880">
        <f t="shared" si="301"/>
        <v>2</v>
      </c>
      <c r="AB361" s="880">
        <f t="shared" si="301"/>
        <v>2</v>
      </c>
      <c r="AC361" s="880">
        <f t="shared" si="301"/>
        <v>2</v>
      </c>
      <c r="AD361" s="880">
        <f t="shared" si="301"/>
        <v>2</v>
      </c>
      <c r="AE361" s="880">
        <f t="shared" si="301"/>
        <v>2</v>
      </c>
      <c r="AF361" s="880">
        <f t="shared" si="301"/>
        <v>2</v>
      </c>
      <c r="AG361" s="880">
        <f t="shared" si="301"/>
        <v>2</v>
      </c>
      <c r="AH361" s="880">
        <f t="shared" si="301"/>
        <v>2</v>
      </c>
      <c r="AI361" s="880">
        <f t="shared" si="301"/>
        <v>2</v>
      </c>
      <c r="AJ361" s="880">
        <f t="shared" si="301"/>
        <v>2</v>
      </c>
      <c r="AK361" s="880">
        <f t="shared" si="301"/>
        <v>2</v>
      </c>
      <c r="AL361" s="880">
        <f t="shared" si="301"/>
        <v>2</v>
      </c>
      <c r="AM361" s="880">
        <f t="shared" ref="AM361:BR361" si="302">AM304-AM315</f>
        <v>2</v>
      </c>
      <c r="AN361" s="880">
        <f t="shared" si="302"/>
        <v>2</v>
      </c>
      <c r="AO361" s="880">
        <f t="shared" si="302"/>
        <v>2</v>
      </c>
      <c r="AP361" s="880">
        <f t="shared" si="302"/>
        <v>2</v>
      </c>
      <c r="AQ361" s="880">
        <f t="shared" si="302"/>
        <v>2</v>
      </c>
      <c r="AR361" s="880">
        <f t="shared" si="302"/>
        <v>2</v>
      </c>
      <c r="AS361" s="880">
        <f t="shared" si="302"/>
        <v>2</v>
      </c>
      <c r="AT361" s="880">
        <f t="shared" si="302"/>
        <v>2</v>
      </c>
      <c r="AU361" s="880">
        <f t="shared" si="302"/>
        <v>2</v>
      </c>
      <c r="AV361" s="880">
        <f t="shared" si="302"/>
        <v>2</v>
      </c>
      <c r="AW361" s="880">
        <f t="shared" si="302"/>
        <v>2</v>
      </c>
      <c r="AX361" s="880">
        <f t="shared" si="302"/>
        <v>2</v>
      </c>
      <c r="AY361" s="880">
        <f t="shared" si="302"/>
        <v>2</v>
      </c>
      <c r="AZ361" s="880">
        <f t="shared" si="302"/>
        <v>2</v>
      </c>
      <c r="BA361" s="880">
        <f t="shared" si="302"/>
        <v>2</v>
      </c>
      <c r="BB361" s="880">
        <f t="shared" si="302"/>
        <v>2</v>
      </c>
      <c r="BC361" s="880">
        <f t="shared" si="302"/>
        <v>2</v>
      </c>
      <c r="BD361" s="880">
        <f t="shared" si="302"/>
        <v>2</v>
      </c>
      <c r="BE361" s="880">
        <f t="shared" si="302"/>
        <v>2</v>
      </c>
      <c r="BF361" s="880">
        <f t="shared" si="302"/>
        <v>2</v>
      </c>
      <c r="BG361" s="880">
        <f t="shared" si="302"/>
        <v>2</v>
      </c>
      <c r="BH361" s="880">
        <f t="shared" si="302"/>
        <v>2</v>
      </c>
      <c r="BI361" s="880">
        <f t="shared" si="302"/>
        <v>2</v>
      </c>
      <c r="BJ361" s="880">
        <f t="shared" si="302"/>
        <v>2</v>
      </c>
      <c r="BK361" s="880">
        <f t="shared" si="302"/>
        <v>2</v>
      </c>
      <c r="BL361" s="880">
        <f t="shared" si="302"/>
        <v>2</v>
      </c>
      <c r="BM361" s="880">
        <f t="shared" si="302"/>
        <v>2</v>
      </c>
      <c r="BN361" s="880">
        <f t="shared" si="302"/>
        <v>2</v>
      </c>
      <c r="BO361" s="880">
        <f t="shared" si="302"/>
        <v>2</v>
      </c>
      <c r="BP361" s="880">
        <f t="shared" si="302"/>
        <v>2</v>
      </c>
      <c r="BQ361" s="880">
        <f t="shared" si="302"/>
        <v>2</v>
      </c>
      <c r="BR361" s="880">
        <f t="shared" si="302"/>
        <v>2</v>
      </c>
      <c r="BS361" s="880">
        <f t="shared" ref="BS361:CI361" si="303">BS304-BS315</f>
        <v>2</v>
      </c>
      <c r="BT361" s="880">
        <f t="shared" si="303"/>
        <v>2</v>
      </c>
      <c r="BU361" s="880">
        <f t="shared" si="303"/>
        <v>2</v>
      </c>
      <c r="BV361" s="880">
        <f t="shared" si="303"/>
        <v>2</v>
      </c>
      <c r="BW361" s="880">
        <f t="shared" si="303"/>
        <v>2</v>
      </c>
      <c r="BX361" s="880">
        <f t="shared" si="303"/>
        <v>2</v>
      </c>
      <c r="BY361" s="880">
        <f t="shared" si="303"/>
        <v>2</v>
      </c>
      <c r="BZ361" s="880">
        <f t="shared" si="303"/>
        <v>2</v>
      </c>
      <c r="CA361" s="880">
        <f t="shared" si="303"/>
        <v>2</v>
      </c>
      <c r="CB361" s="880">
        <f t="shared" si="303"/>
        <v>2</v>
      </c>
      <c r="CC361" s="880">
        <f t="shared" si="303"/>
        <v>2</v>
      </c>
      <c r="CD361" s="880">
        <f t="shared" si="303"/>
        <v>2</v>
      </c>
      <c r="CE361" s="880">
        <f t="shared" si="303"/>
        <v>2</v>
      </c>
      <c r="CF361" s="880">
        <f t="shared" si="303"/>
        <v>2</v>
      </c>
      <c r="CG361" s="880">
        <f t="shared" si="303"/>
        <v>2</v>
      </c>
      <c r="CH361" s="880">
        <f t="shared" si="303"/>
        <v>2</v>
      </c>
      <c r="CI361" s="880">
        <f t="shared" si="303"/>
        <v>2</v>
      </c>
      <c r="CJ361" s="1478"/>
    </row>
    <row r="362" spans="2:89" x14ac:dyDescent="0.35">
      <c r="B362" s="1081" t="s">
        <v>627</v>
      </c>
      <c r="C362" s="1082" t="s">
        <v>471</v>
      </c>
      <c r="D362" s="1083" t="s">
        <v>628</v>
      </c>
      <c r="E362" s="1082" t="s">
        <v>305</v>
      </c>
      <c r="F362" s="1084">
        <v>2</v>
      </c>
      <c r="G362" s="887">
        <f>G360-G359</f>
        <v>54.439999999999984</v>
      </c>
      <c r="H362" s="887">
        <f t="shared" ref="H362:BS362" si="304">H360-H359</f>
        <v>52.396440309999988</v>
      </c>
      <c r="I362" s="887">
        <f t="shared" si="304"/>
        <v>45.136337049999995</v>
      </c>
      <c r="J362" s="887">
        <f t="shared" si="304"/>
        <v>40.414988152852494</v>
      </c>
      <c r="K362" s="887">
        <f t="shared" si="304"/>
        <v>39.88545472545389</v>
      </c>
      <c r="L362" s="887">
        <f t="shared" si="304"/>
        <v>40.901788957342085</v>
      </c>
      <c r="M362" s="888">
        <f t="shared" si="304"/>
        <v>27.87440109623649</v>
      </c>
      <c r="N362" s="888">
        <f t="shared" si="304"/>
        <v>27.62203651825984</v>
      </c>
      <c r="O362" s="888">
        <f t="shared" si="304"/>
        <v>26.871201322578962</v>
      </c>
      <c r="P362" s="888">
        <f t="shared" si="304"/>
        <v>26.375135066574629</v>
      </c>
      <c r="Q362" s="888">
        <f t="shared" si="304"/>
        <v>26.23676806814208</v>
      </c>
      <c r="R362" s="888">
        <f t="shared" si="304"/>
        <v>20.804715204473887</v>
      </c>
      <c r="S362" s="888">
        <f t="shared" si="304"/>
        <v>34.294420032794228</v>
      </c>
      <c r="T362" s="888">
        <f t="shared" si="304"/>
        <v>35.371318496910995</v>
      </c>
      <c r="U362" s="888">
        <f t="shared" si="304"/>
        <v>35.347130495639888</v>
      </c>
      <c r="V362" s="888">
        <f t="shared" si="304"/>
        <v>35.540975435439904</v>
      </c>
      <c r="W362" s="888">
        <f t="shared" si="304"/>
        <v>36.461799184758675</v>
      </c>
      <c r="X362" s="888">
        <f t="shared" si="304"/>
        <v>54.348280776001268</v>
      </c>
      <c r="Y362" s="888">
        <f t="shared" si="304"/>
        <v>54.304988638052741</v>
      </c>
      <c r="Z362" s="888">
        <f t="shared" si="304"/>
        <v>54.216690846764095</v>
      </c>
      <c r="AA362" s="888">
        <f t="shared" si="304"/>
        <v>54.217829116799642</v>
      </c>
      <c r="AB362" s="888">
        <f t="shared" si="304"/>
        <v>29.859155147106431</v>
      </c>
      <c r="AC362" s="888">
        <f t="shared" si="304"/>
        <v>30.043059291559864</v>
      </c>
      <c r="AD362" s="888">
        <f t="shared" si="304"/>
        <v>30.252453075863976</v>
      </c>
      <c r="AE362" s="888">
        <f t="shared" si="304"/>
        <v>30.12493635093384</v>
      </c>
      <c r="AF362" s="888">
        <f t="shared" si="304"/>
        <v>30.393402758166918</v>
      </c>
      <c r="AG362" s="888">
        <f t="shared" si="304"/>
        <v>30.086360655576595</v>
      </c>
      <c r="AH362" s="888">
        <f t="shared" si="304"/>
        <v>30.022117767043369</v>
      </c>
      <c r="AI362" s="888">
        <f t="shared" si="304"/>
        <v>29.966582748079134</v>
      </c>
      <c r="AJ362" s="888">
        <f t="shared" si="304"/>
        <v>29.811380231278303</v>
      </c>
      <c r="AK362" s="888">
        <f t="shared" si="304"/>
        <v>30.04382737978365</v>
      </c>
      <c r="AL362" s="888">
        <f t="shared" si="304"/>
        <v>29.769944917193314</v>
      </c>
      <c r="AM362" s="888">
        <f t="shared" si="304"/>
        <v>29.79005014275851</v>
      </c>
      <c r="AN362" s="888">
        <f t="shared" si="304"/>
        <v>29.76947053309258</v>
      </c>
      <c r="AO362" s="888">
        <f t="shared" si="304"/>
        <v>29.631605443129327</v>
      </c>
      <c r="AP362" s="888">
        <f t="shared" si="304"/>
        <v>29.626292259576356</v>
      </c>
      <c r="AQ362" s="888">
        <f t="shared" si="304"/>
        <v>29.385257900768444</v>
      </c>
      <c r="AR362" s="888">
        <f t="shared" si="304"/>
        <v>29.347707921011917</v>
      </c>
      <c r="AS362" s="888">
        <f t="shared" si="304"/>
        <v>29.285377831667468</v>
      </c>
      <c r="AT362" s="888">
        <f t="shared" si="304"/>
        <v>29.087878284660327</v>
      </c>
      <c r="AU362" s="888">
        <f t="shared" si="304"/>
        <v>29.098421662035953</v>
      </c>
      <c r="AV362" s="888">
        <f t="shared" si="304"/>
        <v>29.015422537900573</v>
      </c>
      <c r="AW362" s="888">
        <f t="shared" si="304"/>
        <v>29.015471788494409</v>
      </c>
      <c r="AX362" s="888">
        <f t="shared" si="304"/>
        <v>28.96845122466501</v>
      </c>
      <c r="AY362" s="888">
        <f t="shared" si="304"/>
        <v>28.703692008092176</v>
      </c>
      <c r="AZ362" s="888">
        <f t="shared" si="304"/>
        <v>28.841170795238298</v>
      </c>
      <c r="BA362" s="888">
        <f t="shared" si="304"/>
        <v>28.61319623163325</v>
      </c>
      <c r="BB362" s="888">
        <f t="shared" si="304"/>
        <v>28.634103328336909</v>
      </c>
      <c r="BC362" s="888">
        <f t="shared" si="304"/>
        <v>28.487284550703894</v>
      </c>
      <c r="BD362" s="888">
        <f t="shared" si="304"/>
        <v>28.516977515734268</v>
      </c>
      <c r="BE362" s="888">
        <f t="shared" si="304"/>
        <v>28.669171884174801</v>
      </c>
      <c r="BF362" s="888">
        <f t="shared" si="304"/>
        <v>28.2832450500363</v>
      </c>
      <c r="BG362" s="888">
        <f t="shared" si="304"/>
        <v>28.306198856159039</v>
      </c>
      <c r="BH362" s="888">
        <f t="shared" si="304"/>
        <v>28.041407176711719</v>
      </c>
      <c r="BI362" s="888">
        <f t="shared" si="304"/>
        <v>27.923354200570529</v>
      </c>
      <c r="BJ362" s="888">
        <f t="shared" si="304"/>
        <v>28.063266880145981</v>
      </c>
      <c r="BK362" s="888">
        <f t="shared" si="304"/>
        <v>27.66080295156603</v>
      </c>
      <c r="BL362" s="888">
        <f t="shared" si="304"/>
        <v>27.782294858637464</v>
      </c>
      <c r="BM362" s="888">
        <f t="shared" si="304"/>
        <v>27.664935357326637</v>
      </c>
      <c r="BN362" s="888">
        <f t="shared" si="304"/>
        <v>27.49389089950208</v>
      </c>
      <c r="BO362" s="888">
        <f t="shared" si="304"/>
        <v>27.23488690410128</v>
      </c>
      <c r="BP362" s="888">
        <f t="shared" si="304"/>
        <v>27.105876172196833</v>
      </c>
      <c r="BQ362" s="888">
        <f t="shared" si="304"/>
        <v>26.983532893094345</v>
      </c>
      <c r="BR362" s="888">
        <f t="shared" si="304"/>
        <v>27.018664415336129</v>
      </c>
      <c r="BS362" s="888">
        <f t="shared" si="304"/>
        <v>26.608545075503539</v>
      </c>
      <c r="BT362" s="888">
        <f t="shared" ref="BT362:CI362" si="305">BT360-BT359</f>
        <v>26.559108297443125</v>
      </c>
      <c r="BU362" s="888">
        <f t="shared" si="305"/>
        <v>26.592591435681332</v>
      </c>
      <c r="BV362" s="888">
        <f t="shared" si="305"/>
        <v>26.132132813161483</v>
      </c>
      <c r="BW362" s="888">
        <f t="shared" si="305"/>
        <v>26.029217019588287</v>
      </c>
      <c r="BX362" s="888">
        <f t="shared" si="305"/>
        <v>26.007860057915014</v>
      </c>
      <c r="BY362" s="888">
        <f t="shared" si="305"/>
        <v>25.67520048272376</v>
      </c>
      <c r="BZ362" s="888">
        <f t="shared" si="305"/>
        <v>25.366313911628659</v>
      </c>
      <c r="CA362" s="888">
        <f t="shared" si="305"/>
        <v>25.171062962493288</v>
      </c>
      <c r="CB362" s="888">
        <f t="shared" si="305"/>
        <v>25.064035701177328</v>
      </c>
      <c r="CC362" s="888">
        <f t="shared" si="305"/>
        <v>24.909183790524299</v>
      </c>
      <c r="CD362" s="888">
        <f t="shared" si="305"/>
        <v>24.900303215783637</v>
      </c>
      <c r="CE362" s="888">
        <f t="shared" si="305"/>
        <v>24.535166714428296</v>
      </c>
      <c r="CF362" s="888">
        <f t="shared" si="305"/>
        <v>24.430175786605076</v>
      </c>
      <c r="CG362" s="888">
        <f t="shared" si="305"/>
        <v>24.172707661736428</v>
      </c>
      <c r="CH362" s="888">
        <f t="shared" si="305"/>
        <v>24.138649631947796</v>
      </c>
      <c r="CI362" s="889">
        <f t="shared" si="305"/>
        <v>23.791237920195854</v>
      </c>
      <c r="CJ362" s="1478"/>
    </row>
    <row r="365" spans="2:89" x14ac:dyDescent="0.35">
      <c r="B365" s="1085" t="s">
        <v>637</v>
      </c>
      <c r="C365" s="1086"/>
      <c r="D365" s="1086"/>
      <c r="E365" s="1086"/>
      <c r="F365" s="1086"/>
      <c r="G365" s="1086"/>
      <c r="H365" s="1086"/>
      <c r="I365" s="1086"/>
      <c r="J365" s="1086"/>
      <c r="K365" s="1086"/>
      <c r="L365" s="1086"/>
      <c r="M365" s="1086"/>
      <c r="N365" s="1086"/>
      <c r="O365" s="1086"/>
      <c r="P365" s="1086"/>
      <c r="Q365" s="1086"/>
      <c r="R365" s="1086"/>
      <c r="S365" s="1086"/>
      <c r="T365" s="1086"/>
      <c r="U365" s="1086"/>
      <c r="V365" s="1086"/>
      <c r="W365" s="1086"/>
      <c r="X365" s="1086"/>
      <c r="Y365" s="1086"/>
      <c r="Z365" s="1086"/>
      <c r="AA365" s="1086"/>
      <c r="AB365" s="1086"/>
      <c r="AC365" s="1086"/>
      <c r="AD365" s="1086"/>
      <c r="AE365" s="1086"/>
      <c r="AF365" s="1086"/>
      <c r="AG365" s="1086"/>
      <c r="AH365" s="1086"/>
      <c r="AI365" s="1086"/>
      <c r="AJ365" s="1086"/>
      <c r="AK365" s="1086"/>
      <c r="AL365" s="1086"/>
      <c r="AM365" s="1086"/>
      <c r="AN365" s="1086"/>
      <c r="AO365" s="1086"/>
      <c r="AP365" s="1086"/>
      <c r="AQ365" s="1086"/>
      <c r="AR365" s="1086"/>
      <c r="AS365" s="1086"/>
      <c r="AT365" s="1086"/>
      <c r="AU365" s="1086"/>
      <c r="AV365" s="1086"/>
      <c r="AW365" s="1086"/>
      <c r="AX365" s="1086"/>
      <c r="AY365" s="1086"/>
      <c r="AZ365" s="1086"/>
      <c r="BA365" s="1086"/>
      <c r="BB365" s="1086"/>
      <c r="BC365" s="1086"/>
      <c r="BD365" s="1086"/>
      <c r="BE365" s="1086"/>
      <c r="BF365" s="1086"/>
      <c r="BG365" s="1086"/>
      <c r="BH365" s="1086"/>
      <c r="BI365" s="1086"/>
      <c r="BJ365" s="1086"/>
      <c r="BK365" s="1086"/>
      <c r="BL365" s="1086"/>
      <c r="BM365" s="1086"/>
      <c r="BN365" s="1086"/>
      <c r="BO365" s="1086"/>
      <c r="BP365" s="1086"/>
      <c r="BQ365" s="1086"/>
      <c r="BR365" s="1086"/>
      <c r="BS365" s="1086"/>
      <c r="BT365" s="1086"/>
      <c r="BU365" s="1086"/>
      <c r="BV365" s="1086"/>
      <c r="BW365" s="1086"/>
      <c r="BX365" s="1086"/>
      <c r="BY365" s="1086"/>
      <c r="BZ365" s="1086"/>
      <c r="CA365" s="1086"/>
      <c r="CB365" s="1086"/>
      <c r="CC365" s="1086"/>
      <c r="CD365" s="1086"/>
      <c r="CE365" s="1086"/>
      <c r="CF365" s="1086"/>
      <c r="CG365" s="1086"/>
      <c r="CH365" s="1086"/>
      <c r="CI365" s="1087"/>
    </row>
    <row r="366" spans="2:89" x14ac:dyDescent="0.35">
      <c r="B366" s="1088"/>
      <c r="C366" s="1089"/>
      <c r="D366" s="1089"/>
      <c r="E366" s="1089"/>
      <c r="F366" s="1089"/>
      <c r="G366" s="1089"/>
      <c r="H366" s="1089"/>
      <c r="I366" s="1089"/>
      <c r="J366" s="1089"/>
      <c r="K366" s="1089"/>
      <c r="L366" s="1089"/>
      <c r="M366" s="1089"/>
      <c r="N366" s="1089"/>
      <c r="O366" s="1089"/>
      <c r="P366" s="1089"/>
      <c r="Q366" s="1089"/>
      <c r="R366" s="1089"/>
      <c r="S366" s="1089"/>
      <c r="T366" s="1089"/>
      <c r="U366" s="1089"/>
      <c r="V366" s="1089"/>
      <c r="W366" s="1089"/>
      <c r="X366" s="1089"/>
      <c r="Y366" s="1089"/>
      <c r="Z366" s="1089"/>
      <c r="AA366" s="1089"/>
      <c r="AB366" s="1089"/>
      <c r="AC366" s="1089"/>
      <c r="AD366" s="1089"/>
      <c r="AE366" s="1089"/>
      <c r="AF366" s="1089"/>
      <c r="AG366" s="1089"/>
      <c r="AH366" s="1089"/>
      <c r="AI366" s="1089"/>
      <c r="AJ366" s="1089"/>
      <c r="AK366" s="1089"/>
      <c r="AL366" s="1089"/>
      <c r="AM366" s="1089"/>
      <c r="AN366" s="1089"/>
      <c r="AO366" s="1089"/>
      <c r="AP366" s="1089"/>
      <c r="AQ366" s="1089"/>
      <c r="AR366" s="1089"/>
      <c r="AS366" s="1089"/>
      <c r="AT366" s="1089"/>
      <c r="AU366" s="1089"/>
      <c r="AV366" s="1089"/>
      <c r="AW366" s="1089"/>
      <c r="AX366" s="1089"/>
      <c r="AY366" s="1089"/>
      <c r="AZ366" s="1089"/>
      <c r="BA366" s="1089"/>
      <c r="BB366" s="1089"/>
      <c r="BC366" s="1089"/>
      <c r="BD366" s="1089"/>
      <c r="BE366" s="1089"/>
      <c r="BF366" s="1089"/>
      <c r="BG366" s="1089"/>
      <c r="BH366" s="1089"/>
      <c r="BI366" s="1089"/>
      <c r="BJ366" s="1089"/>
      <c r="BK366" s="1089"/>
      <c r="BL366" s="1089"/>
      <c r="BM366" s="1089"/>
      <c r="BN366" s="1089"/>
      <c r="BO366" s="1089"/>
      <c r="BP366" s="1089"/>
      <c r="BQ366" s="1089"/>
      <c r="BR366" s="1089"/>
      <c r="BS366" s="1089"/>
      <c r="BT366" s="1089"/>
      <c r="BU366" s="1089"/>
      <c r="BV366" s="1089"/>
      <c r="BW366" s="1089"/>
      <c r="BX366" s="1089"/>
      <c r="BY366" s="1089"/>
      <c r="BZ366" s="1089"/>
      <c r="CA366" s="1089"/>
      <c r="CB366" s="1089"/>
      <c r="CC366" s="1089"/>
      <c r="CD366" s="1089"/>
      <c r="CE366" s="1089"/>
      <c r="CF366" s="1089"/>
      <c r="CG366" s="1089"/>
      <c r="CH366" s="1089"/>
      <c r="CI366" s="1090"/>
    </row>
    <row r="367" spans="2:89" x14ac:dyDescent="0.35">
      <c r="B367" s="1088" t="s">
        <v>638</v>
      </c>
      <c r="C367" s="1089"/>
      <c r="D367" s="1089"/>
      <c r="E367" s="1089"/>
      <c r="F367" s="1089"/>
      <c r="G367" s="1091" t="s">
        <v>221</v>
      </c>
      <c r="H367" s="1091" t="s">
        <v>222</v>
      </c>
      <c r="I367" s="1091" t="s">
        <v>223</v>
      </c>
      <c r="J367" s="1091" t="s">
        <v>224</v>
      </c>
      <c r="K367" s="1091" t="s">
        <v>225</v>
      </c>
      <c r="L367" s="1091" t="s">
        <v>226</v>
      </c>
      <c r="M367" s="1091" t="s">
        <v>227</v>
      </c>
      <c r="N367" s="1091" t="s">
        <v>228</v>
      </c>
      <c r="O367" s="1091" t="s">
        <v>229</v>
      </c>
      <c r="P367" s="1091" t="s">
        <v>230</v>
      </c>
      <c r="Q367" s="1091" t="s">
        <v>231</v>
      </c>
      <c r="R367" s="1091" t="s">
        <v>232</v>
      </c>
      <c r="S367" s="1091" t="s">
        <v>233</v>
      </c>
      <c r="T367" s="1091" t="s">
        <v>234</v>
      </c>
      <c r="U367" s="1091" t="s">
        <v>235</v>
      </c>
      <c r="V367" s="1091" t="s">
        <v>236</v>
      </c>
      <c r="W367" s="1091" t="s">
        <v>237</v>
      </c>
      <c r="X367" s="1091" t="s">
        <v>238</v>
      </c>
      <c r="Y367" s="1091" t="s">
        <v>239</v>
      </c>
      <c r="Z367" s="1091" t="s">
        <v>240</v>
      </c>
      <c r="AA367" s="1091" t="s">
        <v>241</v>
      </c>
      <c r="AB367" s="1091" t="s">
        <v>242</v>
      </c>
      <c r="AC367" s="1091" t="s">
        <v>243</v>
      </c>
      <c r="AD367" s="1091" t="s">
        <v>244</v>
      </c>
      <c r="AE367" s="1091" t="s">
        <v>245</v>
      </c>
      <c r="AF367" s="1091" t="s">
        <v>246</v>
      </c>
      <c r="AG367" s="1091" t="s">
        <v>247</v>
      </c>
      <c r="AH367" s="1091" t="s">
        <v>248</v>
      </c>
      <c r="AI367" s="1091" t="s">
        <v>249</v>
      </c>
      <c r="AJ367" s="1091" t="s">
        <v>250</v>
      </c>
      <c r="AK367" s="1091" t="s">
        <v>251</v>
      </c>
      <c r="AL367" s="1091" t="s">
        <v>252</v>
      </c>
      <c r="AM367" s="1091" t="s">
        <v>253</v>
      </c>
      <c r="AN367" s="1091" t="s">
        <v>254</v>
      </c>
      <c r="AO367" s="1091" t="s">
        <v>255</v>
      </c>
      <c r="AP367" s="1091" t="s">
        <v>256</v>
      </c>
      <c r="AQ367" s="1091" t="s">
        <v>257</v>
      </c>
      <c r="AR367" s="1091" t="s">
        <v>258</v>
      </c>
      <c r="AS367" s="1091" t="s">
        <v>259</v>
      </c>
      <c r="AT367" s="1091" t="s">
        <v>260</v>
      </c>
      <c r="AU367" s="1091" t="s">
        <v>261</v>
      </c>
      <c r="AV367" s="1091" t="s">
        <v>262</v>
      </c>
      <c r="AW367" s="1091" t="s">
        <v>263</v>
      </c>
      <c r="AX367" s="1091" t="s">
        <v>264</v>
      </c>
      <c r="AY367" s="1091" t="s">
        <v>265</v>
      </c>
      <c r="AZ367" s="1091" t="s">
        <v>266</v>
      </c>
      <c r="BA367" s="1091" t="s">
        <v>267</v>
      </c>
      <c r="BB367" s="1091" t="s">
        <v>268</v>
      </c>
      <c r="BC367" s="1091" t="s">
        <v>269</v>
      </c>
      <c r="BD367" s="1091" t="s">
        <v>270</v>
      </c>
      <c r="BE367" s="1091" t="s">
        <v>271</v>
      </c>
      <c r="BF367" s="1091" t="s">
        <v>272</v>
      </c>
      <c r="BG367" s="1091" t="s">
        <v>273</v>
      </c>
      <c r="BH367" s="1091" t="s">
        <v>274</v>
      </c>
      <c r="BI367" s="1091" t="s">
        <v>275</v>
      </c>
      <c r="BJ367" s="1091" t="s">
        <v>276</v>
      </c>
      <c r="BK367" s="1091" t="s">
        <v>277</v>
      </c>
      <c r="BL367" s="1091" t="s">
        <v>278</v>
      </c>
      <c r="BM367" s="1091" t="s">
        <v>279</v>
      </c>
      <c r="BN367" s="1091" t="s">
        <v>280</v>
      </c>
      <c r="BO367" s="1091" t="s">
        <v>281</v>
      </c>
      <c r="BP367" s="1091" t="s">
        <v>282</v>
      </c>
      <c r="BQ367" s="1091" t="s">
        <v>283</v>
      </c>
      <c r="BR367" s="1091" t="s">
        <v>284</v>
      </c>
      <c r="BS367" s="1091" t="s">
        <v>285</v>
      </c>
      <c r="BT367" s="1091" t="s">
        <v>286</v>
      </c>
      <c r="BU367" s="1091" t="s">
        <v>287</v>
      </c>
      <c r="BV367" s="1091" t="s">
        <v>288</v>
      </c>
      <c r="BW367" s="1091" t="s">
        <v>289</v>
      </c>
      <c r="BX367" s="1091" t="s">
        <v>290</v>
      </c>
      <c r="BY367" s="1091" t="s">
        <v>291</v>
      </c>
      <c r="BZ367" s="1091" t="s">
        <v>292</v>
      </c>
      <c r="CA367" s="1091" t="s">
        <v>293</v>
      </c>
      <c r="CB367" s="1091" t="s">
        <v>294</v>
      </c>
      <c r="CC367" s="1091" t="s">
        <v>295</v>
      </c>
      <c r="CD367" s="1091" t="s">
        <v>296</v>
      </c>
      <c r="CE367" s="1091" t="s">
        <v>297</v>
      </c>
      <c r="CF367" s="1091" t="s">
        <v>298</v>
      </c>
      <c r="CG367" s="1091" t="s">
        <v>299</v>
      </c>
      <c r="CH367" s="1091" t="s">
        <v>300</v>
      </c>
      <c r="CI367" s="1092" t="s">
        <v>301</v>
      </c>
    </row>
    <row r="368" spans="2:89" x14ac:dyDescent="0.35">
      <c r="B368" s="1088"/>
      <c r="C368" s="1089" t="s">
        <v>639</v>
      </c>
      <c r="D368" s="1089"/>
      <c r="E368" s="1089" t="s">
        <v>305</v>
      </c>
      <c r="F368" s="1089">
        <v>2</v>
      </c>
      <c r="G368" s="1093">
        <f t="shared" ref="G368:AL368" si="306">G46-G57</f>
        <v>33.913543599999997</v>
      </c>
      <c r="H368" s="1093">
        <f t="shared" si="306"/>
        <v>31.303543599999998</v>
      </c>
      <c r="I368" s="1093">
        <f t="shared" si="306"/>
        <v>31.310182560000001</v>
      </c>
      <c r="J368" s="1093">
        <f t="shared" si="306"/>
        <v>31.166843640000003</v>
      </c>
      <c r="K368" s="1093">
        <f t="shared" si="306"/>
        <v>30.956313270000003</v>
      </c>
      <c r="L368" s="1093">
        <f t="shared" si="306"/>
        <v>32.093497130000003</v>
      </c>
      <c r="M368" s="1093">
        <f t="shared" si="306"/>
        <v>33.044930139999998</v>
      </c>
      <c r="N368" s="1093">
        <f t="shared" si="306"/>
        <v>34.135423180000004</v>
      </c>
      <c r="O368" s="1093">
        <f t="shared" si="306"/>
        <v>35.200263319999998</v>
      </c>
      <c r="P368" s="1093">
        <f t="shared" si="306"/>
        <v>36.172621900000003</v>
      </c>
      <c r="Q368" s="1093">
        <f t="shared" si="306"/>
        <v>37.015608990000004</v>
      </c>
      <c r="R368" s="1093">
        <f t="shared" si="306"/>
        <v>37.730436269999998</v>
      </c>
      <c r="S368" s="1093">
        <f t="shared" si="306"/>
        <v>38.33634215</v>
      </c>
      <c r="T368" s="1093">
        <f t="shared" si="306"/>
        <v>38.943573520000001</v>
      </c>
      <c r="U368" s="1093">
        <f t="shared" si="306"/>
        <v>39.555803660000002</v>
      </c>
      <c r="V368" s="1093">
        <f t="shared" si="306"/>
        <v>40.123486290000002</v>
      </c>
      <c r="W368" s="1093">
        <f t="shared" si="306"/>
        <v>40.650849829999999</v>
      </c>
      <c r="X368" s="1093">
        <f t="shared" si="306"/>
        <v>41.142771320000001</v>
      </c>
      <c r="Y368" s="1093">
        <f t="shared" si="306"/>
        <v>41.641182700000002</v>
      </c>
      <c r="Z368" s="1093">
        <f t="shared" si="306"/>
        <v>42.113023310000003</v>
      </c>
      <c r="AA368" s="1093">
        <f t="shared" si="306"/>
        <v>42.582379840000002</v>
      </c>
      <c r="AB368" s="1093">
        <f t="shared" si="306"/>
        <v>43.035191179999998</v>
      </c>
      <c r="AC368" s="1093">
        <f t="shared" si="306"/>
        <v>43.470868629999998</v>
      </c>
      <c r="AD368" s="1093">
        <f t="shared" si="306"/>
        <v>43.8932492</v>
      </c>
      <c r="AE368" s="1093">
        <f t="shared" si="306"/>
        <v>44.294846220000004</v>
      </c>
      <c r="AF368" s="1093">
        <f t="shared" si="306"/>
        <v>44.671491039999999</v>
      </c>
      <c r="AG368" s="1093">
        <f t="shared" si="306"/>
        <v>45.027264410000001</v>
      </c>
      <c r="AH368" s="1093">
        <f t="shared" si="306"/>
        <v>45.369305580000002</v>
      </c>
      <c r="AI368" s="1093">
        <f t="shared" si="306"/>
        <v>45.694150659999998</v>
      </c>
      <c r="AJ368" s="1093">
        <f t="shared" si="306"/>
        <v>45.997767660000001</v>
      </c>
      <c r="AK368" s="1093">
        <f t="shared" si="306"/>
        <v>46.217318470000002</v>
      </c>
      <c r="AL368" s="1093">
        <f t="shared" si="306"/>
        <v>46.42880151</v>
      </c>
      <c r="AM368" s="1093">
        <f t="shared" ref="AM368:BR368" si="307">AM46-AM57</f>
        <v>46.635498519999999</v>
      </c>
      <c r="AN368" s="1093">
        <f t="shared" si="307"/>
        <v>46.835399629999998</v>
      </c>
      <c r="AO368" s="1093">
        <f t="shared" si="307"/>
        <v>47.032856010000003</v>
      </c>
      <c r="AP368" s="1093">
        <f t="shared" si="307"/>
        <v>47.227018149999999</v>
      </c>
      <c r="AQ368" s="1093">
        <f t="shared" si="307"/>
        <v>47.417059540000004</v>
      </c>
      <c r="AR368" s="1093">
        <f t="shared" si="307"/>
        <v>47.596955890000004</v>
      </c>
      <c r="AS368" s="1093">
        <f t="shared" si="307"/>
        <v>47.768328740000001</v>
      </c>
      <c r="AT368" s="1093">
        <f t="shared" si="307"/>
        <v>47.93638344</v>
      </c>
      <c r="AU368" s="1093">
        <f t="shared" si="307"/>
        <v>48.09853339</v>
      </c>
      <c r="AV368" s="1093">
        <f t="shared" si="307"/>
        <v>48.255997560000004</v>
      </c>
      <c r="AW368" s="1093">
        <f t="shared" si="307"/>
        <v>48.41060719</v>
      </c>
      <c r="AX368" s="1093">
        <f t="shared" si="307"/>
        <v>48.562261790000001</v>
      </c>
      <c r="AY368" s="1093">
        <f t="shared" si="307"/>
        <v>48.712814600000002</v>
      </c>
      <c r="AZ368" s="1093">
        <f t="shared" si="307"/>
        <v>48.862596369999999</v>
      </c>
      <c r="BA368" s="1093">
        <f t="shared" si="307"/>
        <v>49.011154550000001</v>
      </c>
      <c r="BB368" s="1093">
        <f t="shared" si="307"/>
        <v>49.156823899999999</v>
      </c>
      <c r="BC368" s="1093">
        <f t="shared" si="307"/>
        <v>49.302206300000002</v>
      </c>
      <c r="BD368" s="1093">
        <f t="shared" si="307"/>
        <v>49.446606729999999</v>
      </c>
      <c r="BE368" s="1093">
        <f t="shared" si="307"/>
        <v>49.59049349</v>
      </c>
      <c r="BF368" s="1093">
        <f t="shared" si="307"/>
        <v>49.735911899999998</v>
      </c>
      <c r="BG368" s="1093">
        <f t="shared" si="307"/>
        <v>49.882484359999999</v>
      </c>
      <c r="BH368" s="1093">
        <f t="shared" si="307"/>
        <v>50.030452340000004</v>
      </c>
      <c r="BI368" s="1093">
        <f t="shared" si="307"/>
        <v>50.178380860000004</v>
      </c>
      <c r="BJ368" s="1093">
        <f t="shared" si="307"/>
        <v>50.326985700000002</v>
      </c>
      <c r="BK368" s="1093">
        <f t="shared" si="307"/>
        <v>50.47597056</v>
      </c>
      <c r="BL368" s="1093">
        <f t="shared" si="307"/>
        <v>50.62640906</v>
      </c>
      <c r="BM368" s="1093">
        <f t="shared" si="307"/>
        <v>50.779758460000004</v>
      </c>
      <c r="BN368" s="1093">
        <f t="shared" si="307"/>
        <v>50.935332559999999</v>
      </c>
      <c r="BO368" s="1093">
        <f t="shared" si="307"/>
        <v>51.094649580000002</v>
      </c>
      <c r="BP368" s="1093">
        <f t="shared" si="307"/>
        <v>51.25678345</v>
      </c>
      <c r="BQ368" s="1093">
        <f t="shared" si="307"/>
        <v>51.421748399999998</v>
      </c>
      <c r="BR368" s="1093">
        <f t="shared" si="307"/>
        <v>51.587050959999999</v>
      </c>
      <c r="BS368" s="1093">
        <f t="shared" ref="BS368:CI368" si="308">BS46-BS57</f>
        <v>51.75357348</v>
      </c>
      <c r="BT368" s="1093">
        <f t="shared" si="308"/>
        <v>51.921018969999999</v>
      </c>
      <c r="BU368" s="1093">
        <f t="shared" si="308"/>
        <v>52.090085670000001</v>
      </c>
      <c r="BV368" s="1093">
        <f t="shared" si="308"/>
        <v>52.258172710000004</v>
      </c>
      <c r="BW368" s="1093">
        <f t="shared" si="308"/>
        <v>52.42648561</v>
      </c>
      <c r="BX368" s="1093">
        <f t="shared" si="308"/>
        <v>52.594906460000004</v>
      </c>
      <c r="BY368" s="1093">
        <f t="shared" si="308"/>
        <v>52.76399885</v>
      </c>
      <c r="BZ368" s="1093">
        <f t="shared" si="308"/>
        <v>52.932380700000003</v>
      </c>
      <c r="CA368" s="1093">
        <f t="shared" si="308"/>
        <v>53.100274589999998</v>
      </c>
      <c r="CB368" s="1093">
        <f t="shared" si="308"/>
        <v>53.265725430000003</v>
      </c>
      <c r="CC368" s="1093">
        <f t="shared" si="308"/>
        <v>53.430324750000004</v>
      </c>
      <c r="CD368" s="1093">
        <f t="shared" si="308"/>
        <v>53.592647910000004</v>
      </c>
      <c r="CE368" s="1093">
        <f t="shared" si="308"/>
        <v>53.752655330000003</v>
      </c>
      <c r="CF368" s="1093">
        <f t="shared" si="308"/>
        <v>53.909394130000003</v>
      </c>
      <c r="CG368" s="1093">
        <f t="shared" si="308"/>
        <v>54.063444220000001</v>
      </c>
      <c r="CH368" s="1093">
        <f t="shared" si="308"/>
        <v>54.214139150000001</v>
      </c>
      <c r="CI368" s="1094">
        <f t="shared" si="308"/>
        <v>57.284139150000001</v>
      </c>
    </row>
    <row r="369" spans="2:87" x14ac:dyDescent="0.35">
      <c r="B369" s="1088"/>
      <c r="C369" s="1089" t="s">
        <v>640</v>
      </c>
      <c r="D369" s="1089"/>
      <c r="E369" s="1089" t="s">
        <v>305</v>
      </c>
      <c r="F369" s="1089">
        <v>2</v>
      </c>
      <c r="G369" s="1093">
        <f t="shared" ref="G369:AL369" si="309">G47-G58</f>
        <v>17.561084109999999</v>
      </c>
      <c r="H369" s="1093">
        <f t="shared" si="309"/>
        <v>16.341084110000001</v>
      </c>
      <c r="I369" s="1093">
        <f t="shared" si="309"/>
        <v>15.372449890000002</v>
      </c>
      <c r="J369" s="1093">
        <f t="shared" si="309"/>
        <v>14.395511370000001</v>
      </c>
      <c r="K369" s="1093">
        <f t="shared" si="309"/>
        <v>13.455677140000001</v>
      </c>
      <c r="L369" s="1093">
        <f t="shared" si="309"/>
        <v>13.115094260000001</v>
      </c>
      <c r="M369" s="1093">
        <f t="shared" si="309"/>
        <v>12.77323889</v>
      </c>
      <c r="N369" s="1093">
        <f t="shared" si="309"/>
        <v>12.438637700000001</v>
      </c>
      <c r="O369" s="1093">
        <f t="shared" si="309"/>
        <v>12.109299010000001</v>
      </c>
      <c r="P369" s="1093">
        <f t="shared" si="309"/>
        <v>11.781910310000001</v>
      </c>
      <c r="Q369" s="1093">
        <f t="shared" si="309"/>
        <v>11.476731470000001</v>
      </c>
      <c r="R369" s="1093">
        <f t="shared" si="309"/>
        <v>11.17036695</v>
      </c>
      <c r="S369" s="1093">
        <f t="shared" si="309"/>
        <v>10.86616652</v>
      </c>
      <c r="T369" s="1093">
        <f t="shared" si="309"/>
        <v>10.56824044</v>
      </c>
      <c r="U369" s="1093">
        <f t="shared" si="309"/>
        <v>10.2773398</v>
      </c>
      <c r="V369" s="1093">
        <f t="shared" si="309"/>
        <v>9.9935738800000014</v>
      </c>
      <c r="W369" s="1093">
        <f t="shared" si="309"/>
        <v>9.7128765900000005</v>
      </c>
      <c r="X369" s="1093">
        <f t="shared" si="309"/>
        <v>9.4404786900000008</v>
      </c>
      <c r="Y369" s="1093">
        <f t="shared" si="309"/>
        <v>9.1780409500000015</v>
      </c>
      <c r="Z369" s="1093">
        <f t="shared" si="309"/>
        <v>8.9198698000000007</v>
      </c>
      <c r="AA369" s="1093">
        <f t="shared" si="309"/>
        <v>8.6687469530000012</v>
      </c>
      <c r="AB369" s="1093">
        <f t="shared" si="309"/>
        <v>8.4252925220000012</v>
      </c>
      <c r="AC369" s="1093">
        <f t="shared" si="309"/>
        <v>8.1890150100000003</v>
      </c>
      <c r="AD369" s="1093">
        <f t="shared" si="309"/>
        <v>7.9599713749999994</v>
      </c>
      <c r="AE369" s="1093">
        <f t="shared" si="309"/>
        <v>7.7370136149999995</v>
      </c>
      <c r="AF369" s="1093">
        <f t="shared" si="309"/>
        <v>7.519257638</v>
      </c>
      <c r="AG369" s="1093">
        <f t="shared" si="309"/>
        <v>7.3072037409999995</v>
      </c>
      <c r="AH369" s="1093">
        <f t="shared" si="309"/>
        <v>7.1012959320000002</v>
      </c>
      <c r="AI369" s="1093">
        <f t="shared" si="309"/>
        <v>6.9009868519999999</v>
      </c>
      <c r="AJ369" s="1093">
        <f t="shared" si="309"/>
        <v>6.7056585789999996</v>
      </c>
      <c r="AK369" s="1093">
        <f t="shared" si="309"/>
        <v>6.5269225879999997</v>
      </c>
      <c r="AL369" s="1093">
        <f t="shared" si="309"/>
        <v>6.3529352709999998</v>
      </c>
      <c r="AM369" s="1093">
        <f t="shared" ref="AM369:BR369" si="310">AM47-AM58</f>
        <v>6.1832138049999994</v>
      </c>
      <c r="AN369" s="1093">
        <f t="shared" si="310"/>
        <v>6.017617692</v>
      </c>
      <c r="AO369" s="1093">
        <f t="shared" si="310"/>
        <v>5.8558497479999998</v>
      </c>
      <c r="AP369" s="1093">
        <f t="shared" si="310"/>
        <v>5.6975352109999999</v>
      </c>
      <c r="AQ369" s="1093">
        <f t="shared" si="310"/>
        <v>5.5432752760000001</v>
      </c>
      <c r="AR369" s="1093">
        <f t="shared" si="310"/>
        <v>5.3933269299999997</v>
      </c>
      <c r="AS369" s="1093">
        <f t="shared" si="310"/>
        <v>5.2472711829999996</v>
      </c>
      <c r="AT369" s="1093">
        <f t="shared" si="310"/>
        <v>5.1046642689999997</v>
      </c>
      <c r="AU369" s="1093">
        <f t="shared" si="310"/>
        <v>4.965513617</v>
      </c>
      <c r="AV369" s="1093">
        <f t="shared" si="310"/>
        <v>4.8298661989999996</v>
      </c>
      <c r="AW369" s="1093">
        <f t="shared" si="310"/>
        <v>4.6975002239999997</v>
      </c>
      <c r="AX369" s="1093">
        <f t="shared" si="310"/>
        <v>4.5681573789999996</v>
      </c>
      <c r="AY369" s="1093">
        <f t="shared" si="310"/>
        <v>4.4417990270000001</v>
      </c>
      <c r="AZ369" s="1093">
        <f t="shared" si="310"/>
        <v>4.3183997249999999</v>
      </c>
      <c r="BA369" s="1093">
        <f t="shared" si="310"/>
        <v>4.1981678489999998</v>
      </c>
      <c r="BB369" s="1093">
        <f t="shared" si="310"/>
        <v>4.0810361510000002</v>
      </c>
      <c r="BC369" s="1093">
        <f t="shared" si="310"/>
        <v>3.9667874859999994</v>
      </c>
      <c r="BD369" s="1093">
        <f t="shared" si="310"/>
        <v>3.8553385389999999</v>
      </c>
      <c r="BE369" s="1093">
        <f t="shared" si="310"/>
        <v>3.7466094209999996</v>
      </c>
      <c r="BF369" s="1093">
        <f t="shared" si="310"/>
        <v>3.6405981519999999</v>
      </c>
      <c r="BG369" s="1093">
        <f t="shared" si="310"/>
        <v>3.5371765659999994</v>
      </c>
      <c r="BH369" s="1093">
        <f t="shared" si="310"/>
        <v>3.4363702389999995</v>
      </c>
      <c r="BI369" s="1093">
        <f t="shared" si="310"/>
        <v>3.338168735</v>
      </c>
      <c r="BJ369" s="1093">
        <f t="shared" si="310"/>
        <v>3.2423677369999995</v>
      </c>
      <c r="BK369" s="1093">
        <f t="shared" si="310"/>
        <v>3.149080412</v>
      </c>
      <c r="BL369" s="1093">
        <f t="shared" si="310"/>
        <v>3.0581705139999995</v>
      </c>
      <c r="BM369" s="1093">
        <f t="shared" si="310"/>
        <v>2.9694316999999995</v>
      </c>
      <c r="BN369" s="1093">
        <f t="shared" si="310"/>
        <v>2.8828585970000002</v>
      </c>
      <c r="BO369" s="1093">
        <f t="shared" si="310"/>
        <v>2.7982258599999996</v>
      </c>
      <c r="BP369" s="1093">
        <f t="shared" si="310"/>
        <v>2.7155660460000002</v>
      </c>
      <c r="BQ369" s="1093">
        <f t="shared" si="310"/>
        <v>2.6348453520000001</v>
      </c>
      <c r="BR369" s="1093">
        <f t="shared" si="310"/>
        <v>2.5561065300000001</v>
      </c>
      <c r="BS369" s="1093">
        <f t="shared" ref="BS369:CI369" si="311">BS47-BS58</f>
        <v>2.4792499990000003</v>
      </c>
      <c r="BT369" s="1093">
        <f t="shared" si="311"/>
        <v>2.404181543</v>
      </c>
      <c r="BU369" s="1093">
        <f t="shared" si="311"/>
        <v>2.3308746750000005</v>
      </c>
      <c r="BV369" s="1093">
        <f t="shared" si="311"/>
        <v>2.2593299489999996</v>
      </c>
      <c r="BW369" s="1093">
        <f t="shared" si="311"/>
        <v>2.189450828</v>
      </c>
      <c r="BX369" s="1093">
        <f t="shared" si="311"/>
        <v>2.1211723679999999</v>
      </c>
      <c r="BY369" s="1093">
        <f t="shared" si="311"/>
        <v>2.0543864300000001</v>
      </c>
      <c r="BZ369" s="1093">
        <f t="shared" si="311"/>
        <v>1.9891728399999999</v>
      </c>
      <c r="CA369" s="1093">
        <f t="shared" si="311"/>
        <v>1.925500395</v>
      </c>
      <c r="CB369" s="1093">
        <f t="shared" si="311"/>
        <v>1.8634352260000002</v>
      </c>
      <c r="CC369" s="1093">
        <f t="shared" si="311"/>
        <v>1.8028185860000001</v>
      </c>
      <c r="CD369" s="1093">
        <f t="shared" si="311"/>
        <v>1.7436243279999999</v>
      </c>
      <c r="CE369" s="1093">
        <f t="shared" si="311"/>
        <v>1.6858507000000003</v>
      </c>
      <c r="CF369" s="1093">
        <f t="shared" si="311"/>
        <v>1.6295589780000002</v>
      </c>
      <c r="CG369" s="1093">
        <f t="shared" si="311"/>
        <v>1.574681496</v>
      </c>
      <c r="CH369" s="1093">
        <f t="shared" si="311"/>
        <v>1.521151624</v>
      </c>
      <c r="CI369" s="1094">
        <f t="shared" si="311"/>
        <v>2.6111516239999997</v>
      </c>
    </row>
    <row r="370" spans="2:87" x14ac:dyDescent="0.35">
      <c r="B370" s="1088"/>
      <c r="C370" s="1089" t="s">
        <v>641</v>
      </c>
      <c r="D370" s="1089"/>
      <c r="E370" s="1089" t="s">
        <v>305</v>
      </c>
      <c r="F370" s="1089">
        <v>2</v>
      </c>
      <c r="G370" s="1093">
        <f t="shared" ref="G370:AL370" si="312">G43+G45-G55-G56</f>
        <v>22.470000000000002</v>
      </c>
      <c r="H370" s="1093">
        <f t="shared" si="312"/>
        <v>23.903559690000005</v>
      </c>
      <c r="I370" s="1093">
        <f t="shared" si="312"/>
        <v>24.547230610000003</v>
      </c>
      <c r="J370" s="1093">
        <f t="shared" si="312"/>
        <v>25.587165660000004</v>
      </c>
      <c r="K370" s="1093">
        <f t="shared" si="312"/>
        <v>26.848108380000003</v>
      </c>
      <c r="L370" s="1093">
        <f t="shared" si="312"/>
        <v>27.821185670000002</v>
      </c>
      <c r="M370" s="1093">
        <f t="shared" si="312"/>
        <v>28.469952140000004</v>
      </c>
      <c r="N370" s="1093">
        <f t="shared" si="312"/>
        <v>29.137201370000003</v>
      </c>
      <c r="O370" s="1093">
        <f t="shared" si="312"/>
        <v>29.800065120000003</v>
      </c>
      <c r="P370" s="1093">
        <f t="shared" si="312"/>
        <v>30.408994180000004</v>
      </c>
      <c r="Q370" s="1093">
        <f t="shared" si="312"/>
        <v>30.972555440000004</v>
      </c>
      <c r="R370" s="1093">
        <f t="shared" si="312"/>
        <v>31.539617170000003</v>
      </c>
      <c r="S370" s="1093">
        <f t="shared" si="312"/>
        <v>32.055802209999996</v>
      </c>
      <c r="T370" s="1093">
        <f t="shared" si="312"/>
        <v>32.53902935</v>
      </c>
      <c r="U370" s="1093">
        <f t="shared" si="312"/>
        <v>33.069928449999999</v>
      </c>
      <c r="V370" s="1093">
        <f t="shared" si="312"/>
        <v>33.533209849999999</v>
      </c>
      <c r="W370" s="1093">
        <f t="shared" si="312"/>
        <v>34.017829459999994</v>
      </c>
      <c r="X370" s="1093">
        <f t="shared" si="312"/>
        <v>34.510517379999996</v>
      </c>
      <c r="Y370" s="1093">
        <f t="shared" si="312"/>
        <v>34.979892589999999</v>
      </c>
      <c r="Z370" s="1093">
        <f t="shared" si="312"/>
        <v>35.41255245</v>
      </c>
      <c r="AA370" s="1093">
        <f t="shared" si="312"/>
        <v>35.489511983999996</v>
      </c>
      <c r="AB370" s="1093">
        <f t="shared" si="312"/>
        <v>35.566471518999997</v>
      </c>
      <c r="AC370" s="1093">
        <f t="shared" si="312"/>
        <v>35.643431053</v>
      </c>
      <c r="AD370" s="1093">
        <f t="shared" si="312"/>
        <v>35.720390587999994</v>
      </c>
      <c r="AE370" s="1093">
        <f t="shared" si="312"/>
        <v>35.797350121999997</v>
      </c>
      <c r="AF370" s="1093">
        <f t="shared" si="312"/>
        <v>35.874309656999998</v>
      </c>
      <c r="AG370" s="1093">
        <f t="shared" si="312"/>
        <v>35.951269190999994</v>
      </c>
      <c r="AH370" s="1093">
        <f t="shared" si="312"/>
        <v>36.028228725999995</v>
      </c>
      <c r="AI370" s="1093">
        <f t="shared" si="312"/>
        <v>36.105188259999998</v>
      </c>
      <c r="AJ370" s="1093">
        <f t="shared" si="312"/>
        <v>36.182147794999992</v>
      </c>
      <c r="AK370" s="1093">
        <f t="shared" si="312"/>
        <v>36.259107328999995</v>
      </c>
      <c r="AL370" s="1093">
        <f t="shared" si="312"/>
        <v>36.336066864000003</v>
      </c>
      <c r="AM370" s="1093">
        <f t="shared" ref="AM370:BR370" si="313">AM43+AM45-AM55-AM56</f>
        <v>36.413026398</v>
      </c>
      <c r="AN370" s="1093">
        <f t="shared" si="313"/>
        <v>36.489985933</v>
      </c>
      <c r="AO370" s="1093">
        <f t="shared" si="313"/>
        <v>36.566945466999996</v>
      </c>
      <c r="AP370" s="1093">
        <f t="shared" si="313"/>
        <v>36.643905001</v>
      </c>
      <c r="AQ370" s="1093">
        <f t="shared" si="313"/>
        <v>36.720864535999993</v>
      </c>
      <c r="AR370" s="1093">
        <f t="shared" si="313"/>
        <v>36.797824069999997</v>
      </c>
      <c r="AS370" s="1093">
        <f t="shared" si="313"/>
        <v>36.874783604999998</v>
      </c>
      <c r="AT370" s="1093">
        <f t="shared" si="313"/>
        <v>36.951743138999994</v>
      </c>
      <c r="AU370" s="1093">
        <f t="shared" si="313"/>
        <v>37.028702683999995</v>
      </c>
      <c r="AV370" s="1093">
        <f t="shared" si="313"/>
        <v>37.105662217999999</v>
      </c>
      <c r="AW370" s="1093">
        <f t="shared" si="313"/>
        <v>37.182621752999992</v>
      </c>
      <c r="AX370" s="1093">
        <f t="shared" si="313"/>
        <v>37.259581286999996</v>
      </c>
      <c r="AY370" s="1093">
        <f t="shared" si="313"/>
        <v>37.336540821999996</v>
      </c>
      <c r="AZ370" s="1093">
        <f t="shared" si="313"/>
        <v>37.413500355999993</v>
      </c>
      <c r="BA370" s="1093">
        <f t="shared" si="313"/>
        <v>37.490459891</v>
      </c>
      <c r="BB370" s="1093">
        <f t="shared" si="313"/>
        <v>37.567419424999997</v>
      </c>
      <c r="BC370" s="1093">
        <f t="shared" si="313"/>
        <v>37.644378959000001</v>
      </c>
      <c r="BD370" s="1093">
        <f t="shared" si="313"/>
        <v>37.721338493999994</v>
      </c>
      <c r="BE370" s="1093">
        <f t="shared" si="313"/>
        <v>37.798298027999998</v>
      </c>
      <c r="BF370" s="1093">
        <f t="shared" si="313"/>
        <v>37.875257562999998</v>
      </c>
      <c r="BG370" s="1093">
        <f t="shared" si="313"/>
        <v>37.952217096999995</v>
      </c>
      <c r="BH370" s="1093">
        <f t="shared" si="313"/>
        <v>38.029176631999995</v>
      </c>
      <c r="BI370" s="1093">
        <f t="shared" si="313"/>
        <v>38.106136165999999</v>
      </c>
      <c r="BJ370" s="1093">
        <f t="shared" si="313"/>
        <v>38.183095700999992</v>
      </c>
      <c r="BK370" s="1093">
        <f t="shared" si="313"/>
        <v>38.260055234999996</v>
      </c>
      <c r="BL370" s="1093">
        <f t="shared" si="313"/>
        <v>38.337014769999996</v>
      </c>
      <c r="BM370" s="1093">
        <f t="shared" si="313"/>
        <v>38.413974304</v>
      </c>
      <c r="BN370" s="1093">
        <f t="shared" si="313"/>
        <v>38.490933838999993</v>
      </c>
      <c r="BO370" s="1093">
        <f t="shared" si="313"/>
        <v>38.567893372999997</v>
      </c>
      <c r="BP370" s="1093">
        <f t="shared" si="313"/>
        <v>38.644852908000004</v>
      </c>
      <c r="BQ370" s="1093">
        <f t="shared" si="313"/>
        <v>38.721812441999994</v>
      </c>
      <c r="BR370" s="1093">
        <f t="shared" si="313"/>
        <v>38.798771975999998</v>
      </c>
      <c r="BS370" s="1093">
        <f t="shared" ref="BS370:CI370" si="314">BS43+BS45-BS55-BS56</f>
        <v>38.875731510999998</v>
      </c>
      <c r="BT370" s="1093">
        <f t="shared" si="314"/>
        <v>38.952691044999995</v>
      </c>
      <c r="BU370" s="1093">
        <f t="shared" si="314"/>
        <v>39.029650579999995</v>
      </c>
      <c r="BV370" s="1093">
        <f t="shared" si="314"/>
        <v>39.106610113999999</v>
      </c>
      <c r="BW370" s="1093">
        <f t="shared" si="314"/>
        <v>39.183569648999999</v>
      </c>
      <c r="BX370" s="1093">
        <f t="shared" si="314"/>
        <v>39.260529182999996</v>
      </c>
      <c r="BY370" s="1093">
        <f t="shared" si="314"/>
        <v>39.337488717999996</v>
      </c>
      <c r="BZ370" s="1093">
        <f t="shared" si="314"/>
        <v>39.414448252</v>
      </c>
      <c r="CA370" s="1093">
        <f t="shared" si="314"/>
        <v>39.491407786999993</v>
      </c>
      <c r="CB370" s="1093">
        <f t="shared" si="314"/>
        <v>39.568367320999997</v>
      </c>
      <c r="CC370" s="1093">
        <f t="shared" si="314"/>
        <v>39.645326855999997</v>
      </c>
      <c r="CD370" s="1093">
        <f t="shared" si="314"/>
        <v>39.722286389999994</v>
      </c>
      <c r="CE370" s="1093">
        <f t="shared" si="314"/>
        <v>39.799245925000001</v>
      </c>
      <c r="CF370" s="1093">
        <f t="shared" si="314"/>
        <v>39.876205458999998</v>
      </c>
      <c r="CG370" s="1093">
        <f t="shared" si="314"/>
        <v>39.953164992999994</v>
      </c>
      <c r="CH370" s="1093">
        <f t="shared" si="314"/>
        <v>39.953164992999994</v>
      </c>
      <c r="CI370" s="1094">
        <f t="shared" si="314"/>
        <v>39.953164992999994</v>
      </c>
    </row>
    <row r="371" spans="2:87" x14ac:dyDescent="0.35">
      <c r="B371" s="1088"/>
      <c r="C371" s="1089" t="s">
        <v>390</v>
      </c>
      <c r="D371" s="1089"/>
      <c r="E371" s="1089" t="s">
        <v>305</v>
      </c>
      <c r="F371" s="1089">
        <v>2</v>
      </c>
      <c r="G371" s="1093">
        <f t="shared" ref="G371:AL371" si="315">G61</f>
        <v>13.5</v>
      </c>
      <c r="H371" s="1093">
        <f t="shared" si="315"/>
        <v>13.5</v>
      </c>
      <c r="I371" s="1093">
        <f t="shared" si="315"/>
        <v>13.510000000000002</v>
      </c>
      <c r="J371" s="1093">
        <f t="shared" si="315"/>
        <v>13.510000000000002</v>
      </c>
      <c r="K371" s="1093">
        <f t="shared" si="315"/>
        <v>13.510000000000002</v>
      </c>
      <c r="L371" s="1093">
        <f t="shared" si="315"/>
        <v>13.2</v>
      </c>
      <c r="M371" s="1093">
        <f t="shared" si="315"/>
        <v>13.2</v>
      </c>
      <c r="N371" s="1093">
        <f t="shared" si="315"/>
        <v>13.2</v>
      </c>
      <c r="O371" s="1093">
        <f t="shared" si="315"/>
        <v>13.2</v>
      </c>
      <c r="P371" s="1093">
        <f t="shared" si="315"/>
        <v>13.2</v>
      </c>
      <c r="Q371" s="1093">
        <f t="shared" si="315"/>
        <v>13.2</v>
      </c>
      <c r="R371" s="1093">
        <f t="shared" si="315"/>
        <v>13.2</v>
      </c>
      <c r="S371" s="1093">
        <f t="shared" si="315"/>
        <v>13.2</v>
      </c>
      <c r="T371" s="1093">
        <f t="shared" si="315"/>
        <v>13.2</v>
      </c>
      <c r="U371" s="1093">
        <f t="shared" si="315"/>
        <v>13.2</v>
      </c>
      <c r="V371" s="1093">
        <f t="shared" si="315"/>
        <v>13.2</v>
      </c>
      <c r="W371" s="1093">
        <f t="shared" si="315"/>
        <v>13.2</v>
      </c>
      <c r="X371" s="1093">
        <f t="shared" si="315"/>
        <v>13.2</v>
      </c>
      <c r="Y371" s="1093">
        <f t="shared" si="315"/>
        <v>13.2</v>
      </c>
      <c r="Z371" s="1093">
        <f t="shared" si="315"/>
        <v>13.2</v>
      </c>
      <c r="AA371" s="1093">
        <f t="shared" si="315"/>
        <v>13.2</v>
      </c>
      <c r="AB371" s="1093">
        <f t="shared" si="315"/>
        <v>13.2</v>
      </c>
      <c r="AC371" s="1093">
        <f t="shared" si="315"/>
        <v>13.2</v>
      </c>
      <c r="AD371" s="1093">
        <f t="shared" si="315"/>
        <v>13.2</v>
      </c>
      <c r="AE371" s="1093">
        <f t="shared" si="315"/>
        <v>13.2</v>
      </c>
      <c r="AF371" s="1093">
        <f t="shared" si="315"/>
        <v>13.2</v>
      </c>
      <c r="AG371" s="1093">
        <f t="shared" si="315"/>
        <v>13.2</v>
      </c>
      <c r="AH371" s="1093">
        <f t="shared" si="315"/>
        <v>13.2</v>
      </c>
      <c r="AI371" s="1093">
        <f t="shared" si="315"/>
        <v>13.2</v>
      </c>
      <c r="AJ371" s="1093">
        <f t="shared" si="315"/>
        <v>13.2</v>
      </c>
      <c r="AK371" s="1093">
        <f t="shared" si="315"/>
        <v>13.2</v>
      </c>
      <c r="AL371" s="1093">
        <f t="shared" si="315"/>
        <v>13.2</v>
      </c>
      <c r="AM371" s="1093">
        <f t="shared" ref="AM371:BR371" si="316">AM61</f>
        <v>13.2</v>
      </c>
      <c r="AN371" s="1093">
        <f t="shared" si="316"/>
        <v>13.2</v>
      </c>
      <c r="AO371" s="1093">
        <f t="shared" si="316"/>
        <v>13.2</v>
      </c>
      <c r="AP371" s="1093">
        <f t="shared" si="316"/>
        <v>13.2</v>
      </c>
      <c r="AQ371" s="1093">
        <f t="shared" si="316"/>
        <v>13.2</v>
      </c>
      <c r="AR371" s="1093">
        <f t="shared" si="316"/>
        <v>13.2</v>
      </c>
      <c r="AS371" s="1093">
        <f t="shared" si="316"/>
        <v>13.2</v>
      </c>
      <c r="AT371" s="1093">
        <f t="shared" si="316"/>
        <v>13.2</v>
      </c>
      <c r="AU371" s="1093">
        <f t="shared" si="316"/>
        <v>13.2</v>
      </c>
      <c r="AV371" s="1093">
        <f t="shared" si="316"/>
        <v>13.2</v>
      </c>
      <c r="AW371" s="1093">
        <f t="shared" si="316"/>
        <v>13.2</v>
      </c>
      <c r="AX371" s="1093">
        <f t="shared" si="316"/>
        <v>13.2</v>
      </c>
      <c r="AY371" s="1093">
        <f t="shared" si="316"/>
        <v>13.2</v>
      </c>
      <c r="AZ371" s="1093">
        <f t="shared" si="316"/>
        <v>13.2</v>
      </c>
      <c r="BA371" s="1093">
        <f t="shared" si="316"/>
        <v>13.2</v>
      </c>
      <c r="BB371" s="1093">
        <f t="shared" si="316"/>
        <v>13.2</v>
      </c>
      <c r="BC371" s="1093">
        <f t="shared" si="316"/>
        <v>13.2</v>
      </c>
      <c r="BD371" s="1093">
        <f t="shared" si="316"/>
        <v>13.2</v>
      </c>
      <c r="BE371" s="1093">
        <f t="shared" si="316"/>
        <v>13.2</v>
      </c>
      <c r="BF371" s="1093">
        <f t="shared" si="316"/>
        <v>13.2</v>
      </c>
      <c r="BG371" s="1093">
        <f t="shared" si="316"/>
        <v>13.2</v>
      </c>
      <c r="BH371" s="1093">
        <f t="shared" si="316"/>
        <v>13.2</v>
      </c>
      <c r="BI371" s="1093">
        <f t="shared" si="316"/>
        <v>13.2</v>
      </c>
      <c r="BJ371" s="1093">
        <f t="shared" si="316"/>
        <v>13.2</v>
      </c>
      <c r="BK371" s="1093">
        <f t="shared" si="316"/>
        <v>13.2</v>
      </c>
      <c r="BL371" s="1093">
        <f t="shared" si="316"/>
        <v>13.2</v>
      </c>
      <c r="BM371" s="1093">
        <f t="shared" si="316"/>
        <v>13.2</v>
      </c>
      <c r="BN371" s="1093">
        <f t="shared" si="316"/>
        <v>13.2</v>
      </c>
      <c r="BO371" s="1093">
        <f t="shared" si="316"/>
        <v>13.2</v>
      </c>
      <c r="BP371" s="1093">
        <f t="shared" si="316"/>
        <v>13.2</v>
      </c>
      <c r="BQ371" s="1093">
        <f t="shared" si="316"/>
        <v>13.2</v>
      </c>
      <c r="BR371" s="1093">
        <f t="shared" si="316"/>
        <v>13.2</v>
      </c>
      <c r="BS371" s="1093">
        <f t="shared" ref="BS371:CI371" si="317">BS61</f>
        <v>13.2</v>
      </c>
      <c r="BT371" s="1093">
        <f t="shared" si="317"/>
        <v>13.2</v>
      </c>
      <c r="BU371" s="1093">
        <f t="shared" si="317"/>
        <v>13.2</v>
      </c>
      <c r="BV371" s="1093">
        <f t="shared" si="317"/>
        <v>13.2</v>
      </c>
      <c r="BW371" s="1093">
        <f t="shared" si="317"/>
        <v>13.2</v>
      </c>
      <c r="BX371" s="1093">
        <f t="shared" si="317"/>
        <v>13.2</v>
      </c>
      <c r="BY371" s="1093">
        <f t="shared" si="317"/>
        <v>13.2</v>
      </c>
      <c r="BZ371" s="1093">
        <f t="shared" si="317"/>
        <v>13.2</v>
      </c>
      <c r="CA371" s="1093">
        <f t="shared" si="317"/>
        <v>13.2</v>
      </c>
      <c r="CB371" s="1093">
        <f t="shared" si="317"/>
        <v>13.2</v>
      </c>
      <c r="CC371" s="1093">
        <f t="shared" si="317"/>
        <v>13.2</v>
      </c>
      <c r="CD371" s="1093">
        <f t="shared" si="317"/>
        <v>13.2</v>
      </c>
      <c r="CE371" s="1093">
        <f t="shared" si="317"/>
        <v>13.2</v>
      </c>
      <c r="CF371" s="1093">
        <f t="shared" si="317"/>
        <v>13.2</v>
      </c>
      <c r="CG371" s="1093">
        <f t="shared" si="317"/>
        <v>13.2</v>
      </c>
      <c r="CH371" s="1093">
        <f t="shared" si="317"/>
        <v>13.2</v>
      </c>
      <c r="CI371" s="1094">
        <f t="shared" si="317"/>
        <v>13.2</v>
      </c>
    </row>
    <row r="372" spans="2:87" x14ac:dyDescent="0.35">
      <c r="B372" s="1088"/>
      <c r="C372" s="1089" t="s">
        <v>642</v>
      </c>
      <c r="D372" s="1089"/>
      <c r="E372" s="1089" t="s">
        <v>305</v>
      </c>
      <c r="F372" s="1089">
        <v>2</v>
      </c>
      <c r="G372" s="1093">
        <f t="shared" ref="G372:AL372" si="318">G85-SUM(G368:G371)</f>
        <v>0.54000000000000625</v>
      </c>
      <c r="H372" s="1093">
        <f t="shared" si="318"/>
        <v>0.54000000000000625</v>
      </c>
      <c r="I372" s="1093">
        <f t="shared" si="318"/>
        <v>0.54000000000000625</v>
      </c>
      <c r="J372" s="1093">
        <f t="shared" si="318"/>
        <v>0.53999999999997783</v>
      </c>
      <c r="K372" s="1093">
        <f t="shared" si="318"/>
        <v>0.54000000000000625</v>
      </c>
      <c r="L372" s="1093">
        <f t="shared" si="318"/>
        <v>0.54000000000000625</v>
      </c>
      <c r="M372" s="1093">
        <f t="shared" si="318"/>
        <v>0.53999999999997783</v>
      </c>
      <c r="N372" s="1093">
        <f t="shared" si="318"/>
        <v>0.53999999999999204</v>
      </c>
      <c r="O372" s="1093">
        <f t="shared" si="318"/>
        <v>0.53999999999999204</v>
      </c>
      <c r="P372" s="1093">
        <f t="shared" si="318"/>
        <v>0.54000000000000625</v>
      </c>
      <c r="Q372" s="1093">
        <f t="shared" si="318"/>
        <v>0.53999999999999204</v>
      </c>
      <c r="R372" s="1093">
        <f t="shared" si="318"/>
        <v>0.53999999999999204</v>
      </c>
      <c r="S372" s="1093">
        <f t="shared" si="318"/>
        <v>0.53999999999999204</v>
      </c>
      <c r="T372" s="1093">
        <f t="shared" si="318"/>
        <v>0.53999999999999204</v>
      </c>
      <c r="U372" s="1093">
        <f t="shared" si="318"/>
        <v>0.54000000000000625</v>
      </c>
      <c r="V372" s="1093">
        <f t="shared" si="318"/>
        <v>0.54000000000000625</v>
      </c>
      <c r="W372" s="1093">
        <f t="shared" si="318"/>
        <v>0.54000000000000625</v>
      </c>
      <c r="X372" s="1093">
        <f t="shared" si="318"/>
        <v>0.54000000000000625</v>
      </c>
      <c r="Y372" s="1093">
        <f t="shared" si="318"/>
        <v>0.53999999999999204</v>
      </c>
      <c r="Z372" s="1093">
        <f t="shared" si="318"/>
        <v>0.54000000000000625</v>
      </c>
      <c r="AA372" s="1093">
        <f t="shared" si="318"/>
        <v>0.53999999999999204</v>
      </c>
      <c r="AB372" s="1093">
        <f t="shared" si="318"/>
        <v>0.54000000000000625</v>
      </c>
      <c r="AC372" s="1093">
        <f t="shared" si="318"/>
        <v>0.54000000000000625</v>
      </c>
      <c r="AD372" s="1093">
        <f t="shared" si="318"/>
        <v>0.53999999999999204</v>
      </c>
      <c r="AE372" s="1093">
        <f t="shared" si="318"/>
        <v>0.53999999999999204</v>
      </c>
      <c r="AF372" s="1093">
        <f t="shared" si="318"/>
        <v>0.54000000000000625</v>
      </c>
      <c r="AG372" s="1093">
        <f t="shared" si="318"/>
        <v>0.53999999999999204</v>
      </c>
      <c r="AH372" s="1093">
        <f t="shared" si="318"/>
        <v>0.54000000000000625</v>
      </c>
      <c r="AI372" s="1093">
        <f t="shared" si="318"/>
        <v>0.53999999999999204</v>
      </c>
      <c r="AJ372" s="1093">
        <f t="shared" si="318"/>
        <v>0.53999999999999204</v>
      </c>
      <c r="AK372" s="1093">
        <f t="shared" si="318"/>
        <v>0.54000000000000625</v>
      </c>
      <c r="AL372" s="1093">
        <f t="shared" si="318"/>
        <v>0.54000000000000625</v>
      </c>
      <c r="AM372" s="1093">
        <f t="shared" ref="AM372:BR372" si="319">AM85-SUM(AM368:AM371)</f>
        <v>0.53999999999999204</v>
      </c>
      <c r="AN372" s="1093">
        <f t="shared" si="319"/>
        <v>0.53999999999999204</v>
      </c>
      <c r="AO372" s="1093">
        <f t="shared" si="319"/>
        <v>0.54000000000000625</v>
      </c>
      <c r="AP372" s="1093">
        <f t="shared" si="319"/>
        <v>0.54000000000000625</v>
      </c>
      <c r="AQ372" s="1093">
        <f t="shared" si="319"/>
        <v>0.54000000000000625</v>
      </c>
      <c r="AR372" s="1093">
        <f t="shared" si="319"/>
        <v>0.54000000000000625</v>
      </c>
      <c r="AS372" s="1093">
        <f t="shared" si="319"/>
        <v>0.54000000000000625</v>
      </c>
      <c r="AT372" s="1093">
        <f t="shared" si="319"/>
        <v>0.54000000000000625</v>
      </c>
      <c r="AU372" s="1093">
        <f t="shared" si="319"/>
        <v>0.54000000000000625</v>
      </c>
      <c r="AV372" s="1093">
        <f t="shared" si="319"/>
        <v>0.54000000000000625</v>
      </c>
      <c r="AW372" s="1093">
        <f t="shared" si="319"/>
        <v>0.54000000000000625</v>
      </c>
      <c r="AX372" s="1093">
        <f t="shared" si="319"/>
        <v>0.54000000000000625</v>
      </c>
      <c r="AY372" s="1093">
        <f t="shared" si="319"/>
        <v>0.54000000000000625</v>
      </c>
      <c r="AZ372" s="1093">
        <f t="shared" si="319"/>
        <v>0.54000000000000625</v>
      </c>
      <c r="BA372" s="1093">
        <f t="shared" si="319"/>
        <v>0.54000000000000625</v>
      </c>
      <c r="BB372" s="1093">
        <f t="shared" si="319"/>
        <v>0.54000000000000625</v>
      </c>
      <c r="BC372" s="1093">
        <f t="shared" si="319"/>
        <v>0.54000000000000625</v>
      </c>
      <c r="BD372" s="1093">
        <f t="shared" si="319"/>
        <v>0.54000000000000625</v>
      </c>
      <c r="BE372" s="1093">
        <f t="shared" si="319"/>
        <v>0.54000000000000625</v>
      </c>
      <c r="BF372" s="1093">
        <f t="shared" si="319"/>
        <v>0.53999999999999204</v>
      </c>
      <c r="BG372" s="1093">
        <f t="shared" si="319"/>
        <v>0.54000000000000625</v>
      </c>
      <c r="BH372" s="1093">
        <f t="shared" si="319"/>
        <v>0.54000000000000625</v>
      </c>
      <c r="BI372" s="1093">
        <f t="shared" si="319"/>
        <v>0.54000000000000625</v>
      </c>
      <c r="BJ372" s="1093">
        <f t="shared" si="319"/>
        <v>0.53999999999999204</v>
      </c>
      <c r="BK372" s="1093">
        <f t="shared" si="319"/>
        <v>0.54000000000000625</v>
      </c>
      <c r="BL372" s="1093">
        <f t="shared" si="319"/>
        <v>0.54000000000000625</v>
      </c>
      <c r="BM372" s="1093">
        <f t="shared" si="319"/>
        <v>0.54000000000000625</v>
      </c>
      <c r="BN372" s="1093">
        <f t="shared" si="319"/>
        <v>0.54000000000000625</v>
      </c>
      <c r="BO372" s="1093">
        <f t="shared" si="319"/>
        <v>0.53999999999999204</v>
      </c>
      <c r="BP372" s="1093">
        <f t="shared" si="319"/>
        <v>0.54000000000000625</v>
      </c>
      <c r="BQ372" s="1093">
        <f t="shared" si="319"/>
        <v>0.54000000000000625</v>
      </c>
      <c r="BR372" s="1093">
        <f t="shared" si="319"/>
        <v>0.53999999999999204</v>
      </c>
      <c r="BS372" s="1093">
        <f t="shared" ref="BS372:CI372" si="320">BS85-SUM(BS368:BS371)</f>
        <v>0.53999999999999204</v>
      </c>
      <c r="BT372" s="1093">
        <f t="shared" si="320"/>
        <v>0.54000000000000625</v>
      </c>
      <c r="BU372" s="1093">
        <f t="shared" si="320"/>
        <v>0.54000000000000625</v>
      </c>
      <c r="BV372" s="1093">
        <f t="shared" si="320"/>
        <v>0.54000000000000625</v>
      </c>
      <c r="BW372" s="1093">
        <f t="shared" si="320"/>
        <v>0.54000000000000625</v>
      </c>
      <c r="BX372" s="1093">
        <f t="shared" si="320"/>
        <v>0.54000000000000625</v>
      </c>
      <c r="BY372" s="1093">
        <f t="shared" si="320"/>
        <v>0.53999999999999204</v>
      </c>
      <c r="BZ372" s="1093">
        <f t="shared" si="320"/>
        <v>0.53999999999999204</v>
      </c>
      <c r="CA372" s="1093">
        <f t="shared" si="320"/>
        <v>0.54000000000000625</v>
      </c>
      <c r="CB372" s="1093">
        <f t="shared" si="320"/>
        <v>0.54000000000000625</v>
      </c>
      <c r="CC372" s="1093">
        <f t="shared" si="320"/>
        <v>0.54000000000000625</v>
      </c>
      <c r="CD372" s="1093">
        <f t="shared" si="320"/>
        <v>0.53999999999999204</v>
      </c>
      <c r="CE372" s="1093">
        <f t="shared" si="320"/>
        <v>0.53999999999999204</v>
      </c>
      <c r="CF372" s="1093">
        <f t="shared" si="320"/>
        <v>0.54000000000000625</v>
      </c>
      <c r="CG372" s="1093">
        <f t="shared" si="320"/>
        <v>0.54000000000000625</v>
      </c>
      <c r="CH372" s="1093">
        <f t="shared" si="320"/>
        <v>0.54000000000000625</v>
      </c>
      <c r="CI372" s="1094">
        <f t="shared" si="320"/>
        <v>0.54000000000000625</v>
      </c>
    </row>
    <row r="373" spans="2:87" x14ac:dyDescent="0.35">
      <c r="B373" s="1088"/>
      <c r="C373" s="1089" t="s">
        <v>643</v>
      </c>
      <c r="D373" s="1089"/>
      <c r="E373" s="1089" t="s">
        <v>305</v>
      </c>
      <c r="F373" s="1089">
        <v>2</v>
      </c>
      <c r="G373" s="1093">
        <f t="shared" ref="G373:AL373" si="321">G42</f>
        <v>91.100000000000009</v>
      </c>
      <c r="H373" s="1093">
        <f t="shared" si="321"/>
        <v>91.100000000000009</v>
      </c>
      <c r="I373" s="1093">
        <f t="shared" si="321"/>
        <v>91.100000000000009</v>
      </c>
      <c r="J373" s="1093">
        <f t="shared" si="321"/>
        <v>91.100000000000009</v>
      </c>
      <c r="K373" s="1093">
        <f t="shared" si="321"/>
        <v>91.100000000000009</v>
      </c>
      <c r="L373" s="1093">
        <f t="shared" si="321"/>
        <v>89.100000000000009</v>
      </c>
      <c r="M373" s="1093">
        <f t="shared" si="321"/>
        <v>87.767847338129513</v>
      </c>
      <c r="N373" s="1093">
        <f t="shared" si="321"/>
        <v>87.619947338129521</v>
      </c>
      <c r="O373" s="1093">
        <f t="shared" si="321"/>
        <v>87.112047338129514</v>
      </c>
      <c r="P373" s="1093">
        <f t="shared" si="321"/>
        <v>86.964147338129521</v>
      </c>
      <c r="Q373" s="1093">
        <f t="shared" si="321"/>
        <v>86.816247338129514</v>
      </c>
      <c r="R373" s="1093">
        <f t="shared" si="321"/>
        <v>68.658347338129516</v>
      </c>
      <c r="S373" s="1093">
        <f t="shared" si="321"/>
        <v>68.510447338129509</v>
      </c>
      <c r="T373" s="1093">
        <f t="shared" si="321"/>
        <v>68.362547338129517</v>
      </c>
      <c r="U373" s="1093">
        <f t="shared" si="321"/>
        <v>68.21464733812951</v>
      </c>
      <c r="V373" s="1093">
        <f t="shared" si="321"/>
        <v>68.066747338129517</v>
      </c>
      <c r="W373" s="1093">
        <f t="shared" si="321"/>
        <v>67.91884733812951</v>
      </c>
      <c r="X373" s="1093">
        <f t="shared" si="321"/>
        <v>67.770947338129517</v>
      </c>
      <c r="Y373" s="1093">
        <f t="shared" si="321"/>
        <v>67.62304733812951</v>
      </c>
      <c r="Z373" s="1093">
        <f t="shared" si="321"/>
        <v>67.475147338129517</v>
      </c>
      <c r="AA373" s="1093">
        <f t="shared" si="321"/>
        <v>67.32724733812951</v>
      </c>
      <c r="AB373" s="1093">
        <f t="shared" si="321"/>
        <v>35.290000000000006</v>
      </c>
      <c r="AC373" s="1093">
        <f t="shared" si="321"/>
        <v>35.290000000000006</v>
      </c>
      <c r="AD373" s="1093">
        <f t="shared" si="321"/>
        <v>35.290000000000006</v>
      </c>
      <c r="AE373" s="1093">
        <f t="shared" si="321"/>
        <v>35.290000000000006</v>
      </c>
      <c r="AF373" s="1093">
        <f t="shared" si="321"/>
        <v>35.290000000000006</v>
      </c>
      <c r="AG373" s="1093">
        <f t="shared" si="321"/>
        <v>35.290000000000006</v>
      </c>
      <c r="AH373" s="1093">
        <f t="shared" si="321"/>
        <v>35.290000000000006</v>
      </c>
      <c r="AI373" s="1093">
        <f t="shared" si="321"/>
        <v>35.290000000000006</v>
      </c>
      <c r="AJ373" s="1093">
        <f t="shared" si="321"/>
        <v>35.290000000000006</v>
      </c>
      <c r="AK373" s="1093">
        <f t="shared" si="321"/>
        <v>35.290000000000006</v>
      </c>
      <c r="AL373" s="1093">
        <f t="shared" si="321"/>
        <v>35.290000000000006</v>
      </c>
      <c r="AM373" s="1093">
        <f t="shared" ref="AM373:BR373" si="322">AM42</f>
        <v>35.290000000000006</v>
      </c>
      <c r="AN373" s="1093">
        <f t="shared" si="322"/>
        <v>35.290000000000006</v>
      </c>
      <c r="AO373" s="1093">
        <f t="shared" si="322"/>
        <v>35.290000000000006</v>
      </c>
      <c r="AP373" s="1093">
        <f t="shared" si="322"/>
        <v>35.290000000000006</v>
      </c>
      <c r="AQ373" s="1093">
        <f t="shared" si="322"/>
        <v>35.290000000000006</v>
      </c>
      <c r="AR373" s="1093">
        <f t="shared" si="322"/>
        <v>35.290000000000006</v>
      </c>
      <c r="AS373" s="1093">
        <f t="shared" si="322"/>
        <v>35.290000000000006</v>
      </c>
      <c r="AT373" s="1093">
        <f t="shared" si="322"/>
        <v>35.290000000000006</v>
      </c>
      <c r="AU373" s="1093">
        <f t="shared" si="322"/>
        <v>35.290000000000006</v>
      </c>
      <c r="AV373" s="1093">
        <f t="shared" si="322"/>
        <v>35.290000000000006</v>
      </c>
      <c r="AW373" s="1093">
        <f t="shared" si="322"/>
        <v>35.290000000000006</v>
      </c>
      <c r="AX373" s="1093">
        <f t="shared" si="322"/>
        <v>35.290000000000006</v>
      </c>
      <c r="AY373" s="1093">
        <f t="shared" si="322"/>
        <v>35.290000000000006</v>
      </c>
      <c r="AZ373" s="1093">
        <f t="shared" si="322"/>
        <v>35.290000000000006</v>
      </c>
      <c r="BA373" s="1093">
        <f t="shared" si="322"/>
        <v>35.290000000000006</v>
      </c>
      <c r="BB373" s="1093">
        <f t="shared" si="322"/>
        <v>35.290000000000006</v>
      </c>
      <c r="BC373" s="1093">
        <f t="shared" si="322"/>
        <v>35.290000000000006</v>
      </c>
      <c r="BD373" s="1093">
        <f t="shared" si="322"/>
        <v>35.290000000000006</v>
      </c>
      <c r="BE373" s="1093">
        <f t="shared" si="322"/>
        <v>35.290000000000006</v>
      </c>
      <c r="BF373" s="1093">
        <f t="shared" si="322"/>
        <v>35.290000000000006</v>
      </c>
      <c r="BG373" s="1093">
        <f t="shared" si="322"/>
        <v>35.290000000000006</v>
      </c>
      <c r="BH373" s="1093">
        <f t="shared" si="322"/>
        <v>35.290000000000006</v>
      </c>
      <c r="BI373" s="1093">
        <f t="shared" si="322"/>
        <v>35.290000000000006</v>
      </c>
      <c r="BJ373" s="1093">
        <f t="shared" si="322"/>
        <v>35.290000000000006</v>
      </c>
      <c r="BK373" s="1093">
        <f t="shared" si="322"/>
        <v>35.290000000000006</v>
      </c>
      <c r="BL373" s="1093">
        <f t="shared" si="322"/>
        <v>35.290000000000006</v>
      </c>
      <c r="BM373" s="1093">
        <f t="shared" si="322"/>
        <v>35.290000000000006</v>
      </c>
      <c r="BN373" s="1093">
        <f t="shared" si="322"/>
        <v>35.290000000000006</v>
      </c>
      <c r="BO373" s="1093">
        <f t="shared" si="322"/>
        <v>35.290000000000006</v>
      </c>
      <c r="BP373" s="1093">
        <f t="shared" si="322"/>
        <v>35.290000000000006</v>
      </c>
      <c r="BQ373" s="1093">
        <f t="shared" si="322"/>
        <v>35.290000000000006</v>
      </c>
      <c r="BR373" s="1093">
        <f t="shared" si="322"/>
        <v>35.290000000000006</v>
      </c>
      <c r="BS373" s="1093">
        <f t="shared" ref="BS373:CI373" si="323">BS42</f>
        <v>35.290000000000006</v>
      </c>
      <c r="BT373" s="1093">
        <f t="shared" si="323"/>
        <v>35.290000000000006</v>
      </c>
      <c r="BU373" s="1093">
        <f t="shared" si="323"/>
        <v>35.290000000000006</v>
      </c>
      <c r="BV373" s="1093">
        <f t="shared" si="323"/>
        <v>35.290000000000006</v>
      </c>
      <c r="BW373" s="1093">
        <f t="shared" si="323"/>
        <v>35.290000000000006</v>
      </c>
      <c r="BX373" s="1093">
        <f t="shared" si="323"/>
        <v>35.290000000000006</v>
      </c>
      <c r="BY373" s="1093">
        <f t="shared" si="323"/>
        <v>35.290000000000006</v>
      </c>
      <c r="BZ373" s="1093">
        <f t="shared" si="323"/>
        <v>35.290000000000006</v>
      </c>
      <c r="CA373" s="1093">
        <f t="shared" si="323"/>
        <v>35.290000000000006</v>
      </c>
      <c r="CB373" s="1093">
        <f t="shared" si="323"/>
        <v>35.290000000000006</v>
      </c>
      <c r="CC373" s="1093">
        <f t="shared" si="323"/>
        <v>35.290000000000006</v>
      </c>
      <c r="CD373" s="1093">
        <f t="shared" si="323"/>
        <v>35.290000000000006</v>
      </c>
      <c r="CE373" s="1093">
        <f t="shared" si="323"/>
        <v>35.290000000000006</v>
      </c>
      <c r="CF373" s="1093">
        <f t="shared" si="323"/>
        <v>35.290000000000006</v>
      </c>
      <c r="CG373" s="1093">
        <f t="shared" si="323"/>
        <v>35.290000000000006</v>
      </c>
      <c r="CH373" s="1093">
        <f t="shared" si="323"/>
        <v>35.290000000000006</v>
      </c>
      <c r="CI373" s="1094">
        <f t="shared" si="323"/>
        <v>35.290000000000006</v>
      </c>
    </row>
    <row r="374" spans="2:87" x14ac:dyDescent="0.35">
      <c r="B374" s="1088"/>
      <c r="C374" s="1089" t="s">
        <v>644</v>
      </c>
      <c r="D374" s="1089"/>
      <c r="E374" s="1089" t="s">
        <v>305</v>
      </c>
      <c r="F374" s="1089">
        <v>2</v>
      </c>
      <c r="G374" s="1093">
        <f t="shared" ref="G374:AL374" si="324">SUM(G368:G372)+G88</f>
        <v>87.984627709999998</v>
      </c>
      <c r="H374" s="1093">
        <f t="shared" si="324"/>
        <v>85.58818740000001</v>
      </c>
      <c r="I374" s="1093">
        <f t="shared" si="324"/>
        <v>88.255622770241132</v>
      </c>
      <c r="J374" s="1093">
        <f t="shared" si="324"/>
        <v>88.557216185445483</v>
      </c>
      <c r="K374" s="1093">
        <f t="shared" si="324"/>
        <v>88.167506693293888</v>
      </c>
      <c r="L374" s="1093">
        <f t="shared" si="324"/>
        <v>89.806733301980373</v>
      </c>
      <c r="M374" s="1093">
        <f t="shared" si="324"/>
        <v>91.286530569870337</v>
      </c>
      <c r="N374" s="1093">
        <f t="shared" si="324"/>
        <v>92.571975317290182</v>
      </c>
      <c r="O374" s="1093">
        <f t="shared" si="324"/>
        <v>94.237141080260528</v>
      </c>
      <c r="P374" s="1093">
        <f t="shared" si="324"/>
        <v>95.409159202635905</v>
      </c>
      <c r="Q374" s="1093">
        <f t="shared" si="324"/>
        <v>95.421328825812196</v>
      </c>
      <c r="R374" s="1093">
        <f t="shared" si="324"/>
        <v>96.397279616043193</v>
      </c>
      <c r="S374" s="1093">
        <f t="shared" si="324"/>
        <v>97.386885970423904</v>
      </c>
      <c r="T374" s="1093">
        <f t="shared" si="324"/>
        <v>98.179745076057685</v>
      </c>
      <c r="U374" s="1093">
        <f t="shared" si="324"/>
        <v>99.223641826068189</v>
      </c>
      <c r="V374" s="1093">
        <f t="shared" si="324"/>
        <v>98.674976311229713</v>
      </c>
      <c r="W374" s="1093">
        <f t="shared" si="324"/>
        <v>99.36925893712349</v>
      </c>
      <c r="X374" s="1093">
        <f t="shared" si="324"/>
        <v>100.19370443003773</v>
      </c>
      <c r="Y374" s="1093">
        <f t="shared" si="324"/>
        <v>100.97895570184303</v>
      </c>
      <c r="Z374" s="1093">
        <f t="shared" si="324"/>
        <v>101.69493071782918</v>
      </c>
      <c r="AA374" s="1093">
        <f t="shared" si="324"/>
        <v>101.94007194560281</v>
      </c>
      <c r="AB374" s="1093">
        <f t="shared" si="324"/>
        <v>102.12234972672306</v>
      </c>
      <c r="AC374" s="1093">
        <f t="shared" si="324"/>
        <v>102.47767875704554</v>
      </c>
      <c r="AD374" s="1093">
        <f t="shared" si="324"/>
        <v>102.87940148732623</v>
      </c>
      <c r="AE374" s="1093">
        <f t="shared" si="324"/>
        <v>103.09178756681524</v>
      </c>
      <c r="AF374" s="1093">
        <f t="shared" si="324"/>
        <v>103.35210253166736</v>
      </c>
      <c r="AG374" s="1093">
        <f t="shared" si="324"/>
        <v>103.67243227478512</v>
      </c>
      <c r="AH374" s="1093">
        <f t="shared" si="324"/>
        <v>103.79549617727177</v>
      </c>
      <c r="AI374" s="1093">
        <f t="shared" si="324"/>
        <v>103.99255477661781</v>
      </c>
      <c r="AJ374" s="1093">
        <f t="shared" si="324"/>
        <v>104.21235681444855</v>
      </c>
      <c r="AK374" s="1093">
        <f t="shared" si="324"/>
        <v>104.31007977206848</v>
      </c>
      <c r="AL374" s="1093">
        <f t="shared" si="324"/>
        <v>104.4813087209382</v>
      </c>
      <c r="AM374" s="1093">
        <f t="shared" ref="AM374:BR374" si="325">SUM(AM368:AM372)+AM88</f>
        <v>104.56506197228356</v>
      </c>
      <c r="AN374" s="1093">
        <f t="shared" si="325"/>
        <v>104.77167045309901</v>
      </c>
      <c r="AO374" s="1093">
        <f t="shared" si="325"/>
        <v>104.8039833943804</v>
      </c>
      <c r="AP374" s="1093">
        <f t="shared" si="325"/>
        <v>104.80812725331693</v>
      </c>
      <c r="AQ374" s="1093">
        <f t="shared" si="325"/>
        <v>104.97998267843785</v>
      </c>
      <c r="AR374" s="1093">
        <f t="shared" si="325"/>
        <v>104.99696545941366</v>
      </c>
      <c r="AS374" s="1093">
        <f t="shared" si="325"/>
        <v>105.07939663267781</v>
      </c>
      <c r="AT374" s="1093">
        <f t="shared" si="325"/>
        <v>105.1009701747769</v>
      </c>
      <c r="AU374" s="1093">
        <f t="shared" si="325"/>
        <v>105.12053772229035</v>
      </c>
      <c r="AV374" s="1093">
        <f t="shared" si="325"/>
        <v>105.24181926798491</v>
      </c>
      <c r="AW374" s="1093">
        <f t="shared" si="325"/>
        <v>105.16427730660634</v>
      </c>
      <c r="AX374" s="1093">
        <f t="shared" si="325"/>
        <v>105.44079883413936</v>
      </c>
      <c r="AY374" s="1093">
        <f t="shared" si="325"/>
        <v>105.47565852403214</v>
      </c>
      <c r="AZ374" s="1093">
        <f t="shared" si="325"/>
        <v>105.54307107786404</v>
      </c>
      <c r="BA374" s="1093">
        <f t="shared" si="325"/>
        <v>105.61002140830023</v>
      </c>
      <c r="BB374" s="1093">
        <f t="shared" si="325"/>
        <v>105.63518409042233</v>
      </c>
      <c r="BC374" s="1093">
        <f t="shared" si="325"/>
        <v>105.69815881644884</v>
      </c>
      <c r="BD374" s="1093">
        <f t="shared" si="325"/>
        <v>105.67678155839081</v>
      </c>
      <c r="BE374" s="1093">
        <f t="shared" si="325"/>
        <v>105.92000974576287</v>
      </c>
      <c r="BF374" s="1093">
        <f t="shared" si="325"/>
        <v>105.92756519706658</v>
      </c>
      <c r="BG374" s="1093">
        <f t="shared" si="325"/>
        <v>105.91406265151251</v>
      </c>
      <c r="BH374" s="1093">
        <f t="shared" si="325"/>
        <v>105.90868762538561</v>
      </c>
      <c r="BI374" s="1093">
        <f t="shared" si="325"/>
        <v>105.96412341771716</v>
      </c>
      <c r="BJ374" s="1093">
        <f t="shared" si="325"/>
        <v>106.63183856102403</v>
      </c>
      <c r="BK374" s="1093">
        <f t="shared" si="325"/>
        <v>106.42456331497408</v>
      </c>
      <c r="BL374" s="1093">
        <f t="shared" si="325"/>
        <v>106.52401551230734</v>
      </c>
      <c r="BM374" s="1093">
        <f t="shared" si="325"/>
        <v>106.5734612281483</v>
      </c>
      <c r="BN374" s="1093">
        <f t="shared" si="325"/>
        <v>106.90271511896744</v>
      </c>
      <c r="BO374" s="1093">
        <f t="shared" si="325"/>
        <v>106.90386939911726</v>
      </c>
      <c r="BP374" s="1093">
        <f t="shared" si="325"/>
        <v>106.84717805983938</v>
      </c>
      <c r="BQ374" s="1093">
        <f t="shared" si="325"/>
        <v>107.09086269694238</v>
      </c>
      <c r="BR374" s="1093">
        <f t="shared" si="325"/>
        <v>107.29447217259833</v>
      </c>
      <c r="BS374" s="1093">
        <f t="shared" ref="BS374:CI374" si="326">SUM(BS368:BS372)+BS88</f>
        <v>107.58145845210491</v>
      </c>
      <c r="BT374" s="1093">
        <f t="shared" si="326"/>
        <v>107.52223965347383</v>
      </c>
      <c r="BU374" s="1093">
        <f t="shared" si="326"/>
        <v>107.70780273590719</v>
      </c>
      <c r="BV374" s="1093">
        <f t="shared" si="326"/>
        <v>107.64671129947246</v>
      </c>
      <c r="BW374" s="1093">
        <f t="shared" si="326"/>
        <v>107.94112721090326</v>
      </c>
      <c r="BX374" s="1093">
        <f t="shared" si="326"/>
        <v>108.14334133982115</v>
      </c>
      <c r="BY374" s="1093">
        <f t="shared" si="326"/>
        <v>108.39936707232894</v>
      </c>
      <c r="BZ374" s="1093">
        <f t="shared" si="326"/>
        <v>108.70524638439994</v>
      </c>
      <c r="CA374" s="1093">
        <f t="shared" si="326"/>
        <v>108.72858475634045</v>
      </c>
      <c r="CB374" s="1093">
        <f t="shared" si="326"/>
        <v>108.75720769762523</v>
      </c>
      <c r="CC374" s="1093">
        <f t="shared" si="326"/>
        <v>109.06357545082821</v>
      </c>
      <c r="CD374" s="1093">
        <f t="shared" si="326"/>
        <v>109.054428711388</v>
      </c>
      <c r="CE374" s="1093">
        <f t="shared" si="326"/>
        <v>109.2606787675154</v>
      </c>
      <c r="CF374" s="1093">
        <f t="shared" si="326"/>
        <v>109.29345191405694</v>
      </c>
      <c r="CG374" s="1093">
        <f t="shared" si="326"/>
        <v>109.61070029213097</v>
      </c>
      <c r="CH374" s="1093">
        <f t="shared" si="326"/>
        <v>109.69407409051584</v>
      </c>
      <c r="CI374" s="1094">
        <f t="shared" si="326"/>
        <v>113.80218434731408</v>
      </c>
    </row>
    <row r="375" spans="2:87" x14ac:dyDescent="0.35">
      <c r="B375" s="1088"/>
      <c r="C375" s="1089"/>
      <c r="D375" s="1089"/>
      <c r="E375" s="1089"/>
      <c r="F375" s="1089"/>
      <c r="G375" s="1089"/>
      <c r="H375" s="1089"/>
      <c r="I375" s="1089"/>
      <c r="J375" s="1089"/>
      <c r="K375" s="1089"/>
      <c r="L375" s="1089"/>
      <c r="M375" s="1089"/>
      <c r="N375" s="1089"/>
      <c r="O375" s="1089"/>
      <c r="P375" s="1089"/>
      <c r="Q375" s="1089"/>
      <c r="R375" s="1089"/>
      <c r="S375" s="1089"/>
      <c r="T375" s="1089"/>
      <c r="U375" s="1089"/>
      <c r="V375" s="1089"/>
      <c r="W375" s="1089"/>
      <c r="X375" s="1089"/>
      <c r="Y375" s="1089"/>
      <c r="Z375" s="1089"/>
      <c r="AA375" s="1089"/>
      <c r="AB375" s="1089"/>
      <c r="AC375" s="1089"/>
      <c r="AD375" s="1089"/>
      <c r="AE375" s="1089"/>
      <c r="AF375" s="1089"/>
      <c r="AG375" s="1089"/>
      <c r="AH375" s="1089"/>
      <c r="AI375" s="1089"/>
      <c r="AJ375" s="1089"/>
      <c r="AK375" s="1089"/>
      <c r="AL375" s="1089"/>
      <c r="AM375" s="1089"/>
      <c r="AN375" s="1089"/>
      <c r="AO375" s="1089"/>
      <c r="AP375" s="1089"/>
      <c r="AQ375" s="1089"/>
      <c r="AR375" s="1089"/>
      <c r="AS375" s="1089"/>
      <c r="AT375" s="1089"/>
      <c r="AU375" s="1089"/>
      <c r="AV375" s="1089"/>
      <c r="AW375" s="1089"/>
      <c r="AX375" s="1089"/>
      <c r="AY375" s="1089"/>
      <c r="AZ375" s="1089"/>
      <c r="BA375" s="1089"/>
      <c r="BB375" s="1089"/>
      <c r="BC375" s="1089"/>
      <c r="BD375" s="1089"/>
      <c r="BE375" s="1089"/>
      <c r="BF375" s="1089"/>
      <c r="BG375" s="1089"/>
      <c r="BH375" s="1089"/>
      <c r="BI375" s="1089"/>
      <c r="BJ375" s="1089"/>
      <c r="BK375" s="1089"/>
      <c r="BL375" s="1089"/>
      <c r="BM375" s="1089"/>
      <c r="BN375" s="1089"/>
      <c r="BO375" s="1089"/>
      <c r="BP375" s="1089"/>
      <c r="BQ375" s="1089"/>
      <c r="BR375" s="1089"/>
      <c r="BS375" s="1089"/>
      <c r="BT375" s="1089"/>
      <c r="BU375" s="1089"/>
      <c r="BV375" s="1089"/>
      <c r="BW375" s="1089"/>
      <c r="BX375" s="1089"/>
      <c r="BY375" s="1089"/>
      <c r="BZ375" s="1089"/>
      <c r="CA375" s="1089"/>
      <c r="CB375" s="1089"/>
      <c r="CC375" s="1089"/>
      <c r="CD375" s="1089"/>
      <c r="CE375" s="1089"/>
      <c r="CF375" s="1089"/>
      <c r="CG375" s="1089"/>
      <c r="CH375" s="1089"/>
      <c r="CI375" s="1090"/>
    </row>
    <row r="376" spans="2:87" x14ac:dyDescent="0.35">
      <c r="B376" s="1088" t="s">
        <v>645</v>
      </c>
      <c r="C376" s="1089"/>
      <c r="D376" s="1089"/>
      <c r="E376" s="1089"/>
      <c r="F376" s="1089"/>
      <c r="G376" s="1091" t="s">
        <v>221</v>
      </c>
      <c r="H376" s="1091" t="s">
        <v>222</v>
      </c>
      <c r="I376" s="1091" t="s">
        <v>223</v>
      </c>
      <c r="J376" s="1091" t="s">
        <v>224</v>
      </c>
      <c r="K376" s="1091" t="s">
        <v>225</v>
      </c>
      <c r="L376" s="1091" t="s">
        <v>226</v>
      </c>
      <c r="M376" s="1091" t="s">
        <v>227</v>
      </c>
      <c r="N376" s="1091" t="s">
        <v>228</v>
      </c>
      <c r="O376" s="1091" t="s">
        <v>229</v>
      </c>
      <c r="P376" s="1091" t="s">
        <v>230</v>
      </c>
      <c r="Q376" s="1091" t="s">
        <v>231</v>
      </c>
      <c r="R376" s="1091" t="s">
        <v>232</v>
      </c>
      <c r="S376" s="1091" t="s">
        <v>233</v>
      </c>
      <c r="T376" s="1091" t="s">
        <v>234</v>
      </c>
      <c r="U376" s="1091" t="s">
        <v>235</v>
      </c>
      <c r="V376" s="1091" t="s">
        <v>236</v>
      </c>
      <c r="W376" s="1091" t="s">
        <v>237</v>
      </c>
      <c r="X376" s="1091" t="s">
        <v>238</v>
      </c>
      <c r="Y376" s="1091" t="s">
        <v>239</v>
      </c>
      <c r="Z376" s="1091" t="s">
        <v>240</v>
      </c>
      <c r="AA376" s="1091" t="s">
        <v>241</v>
      </c>
      <c r="AB376" s="1091" t="s">
        <v>242</v>
      </c>
      <c r="AC376" s="1091" t="s">
        <v>243</v>
      </c>
      <c r="AD376" s="1091" t="s">
        <v>244</v>
      </c>
      <c r="AE376" s="1091" t="s">
        <v>245</v>
      </c>
      <c r="AF376" s="1091" t="s">
        <v>246</v>
      </c>
      <c r="AG376" s="1091" t="s">
        <v>247</v>
      </c>
      <c r="AH376" s="1091" t="s">
        <v>248</v>
      </c>
      <c r="AI376" s="1091" t="s">
        <v>249</v>
      </c>
      <c r="AJ376" s="1091" t="s">
        <v>250</v>
      </c>
      <c r="AK376" s="1091" t="s">
        <v>251</v>
      </c>
      <c r="AL376" s="1091" t="s">
        <v>252</v>
      </c>
      <c r="AM376" s="1091" t="s">
        <v>253</v>
      </c>
      <c r="AN376" s="1091" t="s">
        <v>254</v>
      </c>
      <c r="AO376" s="1091" t="s">
        <v>255</v>
      </c>
      <c r="AP376" s="1091" t="s">
        <v>256</v>
      </c>
      <c r="AQ376" s="1091" t="s">
        <v>257</v>
      </c>
      <c r="AR376" s="1091" t="s">
        <v>258</v>
      </c>
      <c r="AS376" s="1091" t="s">
        <v>259</v>
      </c>
      <c r="AT376" s="1091" t="s">
        <v>260</v>
      </c>
      <c r="AU376" s="1091" t="s">
        <v>261</v>
      </c>
      <c r="AV376" s="1091" t="s">
        <v>262</v>
      </c>
      <c r="AW376" s="1091" t="s">
        <v>263</v>
      </c>
      <c r="AX376" s="1091" t="s">
        <v>264</v>
      </c>
      <c r="AY376" s="1091" t="s">
        <v>265</v>
      </c>
      <c r="AZ376" s="1091" t="s">
        <v>266</v>
      </c>
      <c r="BA376" s="1091" t="s">
        <v>267</v>
      </c>
      <c r="BB376" s="1091" t="s">
        <v>268</v>
      </c>
      <c r="BC376" s="1091" t="s">
        <v>269</v>
      </c>
      <c r="BD376" s="1091" t="s">
        <v>270</v>
      </c>
      <c r="BE376" s="1091" t="s">
        <v>271</v>
      </c>
      <c r="BF376" s="1091" t="s">
        <v>272</v>
      </c>
      <c r="BG376" s="1091" t="s">
        <v>273</v>
      </c>
      <c r="BH376" s="1091" t="s">
        <v>274</v>
      </c>
      <c r="BI376" s="1091" t="s">
        <v>275</v>
      </c>
      <c r="BJ376" s="1091" t="s">
        <v>276</v>
      </c>
      <c r="BK376" s="1091" t="s">
        <v>277</v>
      </c>
      <c r="BL376" s="1091" t="s">
        <v>278</v>
      </c>
      <c r="BM376" s="1091" t="s">
        <v>279</v>
      </c>
      <c r="BN376" s="1091" t="s">
        <v>280</v>
      </c>
      <c r="BO376" s="1091" t="s">
        <v>281</v>
      </c>
      <c r="BP376" s="1091" t="s">
        <v>282</v>
      </c>
      <c r="BQ376" s="1091" t="s">
        <v>283</v>
      </c>
      <c r="BR376" s="1091" t="s">
        <v>284</v>
      </c>
      <c r="BS376" s="1091" t="s">
        <v>285</v>
      </c>
      <c r="BT376" s="1091" t="s">
        <v>286</v>
      </c>
      <c r="BU376" s="1091" t="s">
        <v>287</v>
      </c>
      <c r="BV376" s="1091" t="s">
        <v>288</v>
      </c>
      <c r="BW376" s="1091" t="s">
        <v>289</v>
      </c>
      <c r="BX376" s="1091" t="s">
        <v>290</v>
      </c>
      <c r="BY376" s="1091" t="s">
        <v>291</v>
      </c>
      <c r="BZ376" s="1091" t="s">
        <v>292</v>
      </c>
      <c r="CA376" s="1091" t="s">
        <v>293</v>
      </c>
      <c r="CB376" s="1091" t="s">
        <v>294</v>
      </c>
      <c r="CC376" s="1091" t="s">
        <v>295</v>
      </c>
      <c r="CD376" s="1091" t="s">
        <v>296</v>
      </c>
      <c r="CE376" s="1091" t="s">
        <v>297</v>
      </c>
      <c r="CF376" s="1091" t="s">
        <v>298</v>
      </c>
      <c r="CG376" s="1091" t="s">
        <v>299</v>
      </c>
      <c r="CH376" s="1091" t="s">
        <v>300</v>
      </c>
      <c r="CI376" s="1092" t="s">
        <v>301</v>
      </c>
    </row>
    <row r="377" spans="2:87" x14ac:dyDescent="0.35">
      <c r="B377" s="1088"/>
      <c r="C377" s="1089" t="s">
        <v>639</v>
      </c>
      <c r="D377" s="1089"/>
      <c r="E377" s="1089" t="s">
        <v>305</v>
      </c>
      <c r="F377" s="1089">
        <v>2</v>
      </c>
      <c r="G377" s="1093">
        <f t="shared" ref="G377:AL377" si="327">G136-G147</f>
        <v>33.913543599999997</v>
      </c>
      <c r="H377" s="1093">
        <f t="shared" si="327"/>
        <v>31.303543599999998</v>
      </c>
      <c r="I377" s="1093">
        <f t="shared" si="327"/>
        <v>31.310182560000001</v>
      </c>
      <c r="J377" s="1093">
        <f t="shared" si="327"/>
        <v>31.166843640000003</v>
      </c>
      <c r="K377" s="1093">
        <f t="shared" si="327"/>
        <v>30.956313270000003</v>
      </c>
      <c r="L377" s="1093">
        <f t="shared" si="327"/>
        <v>32.093497130000003</v>
      </c>
      <c r="M377" s="1093">
        <f t="shared" si="327"/>
        <v>33.434408818181815</v>
      </c>
      <c r="N377" s="1093">
        <f t="shared" si="327"/>
        <v>34.943108046363641</v>
      </c>
      <c r="O377" s="1093">
        <f t="shared" si="327"/>
        <v>36.433408554545451</v>
      </c>
      <c r="P377" s="1093">
        <f t="shared" si="327"/>
        <v>37.836490002727281</v>
      </c>
      <c r="Q377" s="1093">
        <f t="shared" si="327"/>
        <v>38.977289217977415</v>
      </c>
      <c r="R377" s="1093">
        <f t="shared" si="327"/>
        <v>40.046279357208604</v>
      </c>
      <c r="S377" s="1093">
        <f t="shared" si="327"/>
        <v>41.002158866695858</v>
      </c>
      <c r="T377" s="1093">
        <f t="shared" si="327"/>
        <v>41.960196329567573</v>
      </c>
      <c r="U377" s="1093">
        <f t="shared" si="327"/>
        <v>42.926912594084534</v>
      </c>
      <c r="V377" s="1093">
        <f t="shared" si="327"/>
        <v>43.853305808519714</v>
      </c>
      <c r="W377" s="1093">
        <f t="shared" si="327"/>
        <v>44.854707938253057</v>
      </c>
      <c r="X377" s="1093">
        <f t="shared" si="327"/>
        <v>44.695650364462203</v>
      </c>
      <c r="Y377" s="1093">
        <f t="shared" si="327"/>
        <v>44.548369379039237</v>
      </c>
      <c r="Z377" s="1093">
        <f t="shared" si="327"/>
        <v>44.37933917166724</v>
      </c>
      <c r="AA377" s="1093">
        <f t="shared" si="327"/>
        <v>44.210375822295411</v>
      </c>
      <c r="AB377" s="1093">
        <f t="shared" si="327"/>
        <v>44.02827866032338</v>
      </c>
      <c r="AC377" s="1093">
        <f t="shared" si="327"/>
        <v>43.833556690779169</v>
      </c>
      <c r="AD377" s="1093">
        <f t="shared" si="327"/>
        <v>43.629795425866739</v>
      </c>
      <c r="AE377" s="1093">
        <f t="shared" si="327"/>
        <v>43.409300727314829</v>
      </c>
      <c r="AF377" s="1093">
        <f t="shared" si="327"/>
        <v>43.167381683940754</v>
      </c>
      <c r="AG377" s="1093">
        <f t="shared" si="327"/>
        <v>43.168125913718157</v>
      </c>
      <c r="AH377" s="1093">
        <f t="shared" si="327"/>
        <v>43.160809657545606</v>
      </c>
      <c r="AI377" s="1093">
        <f t="shared" si="327"/>
        <v>43.14200955413866</v>
      </c>
      <c r="AJ377" s="1093">
        <f t="shared" si="327"/>
        <v>43.107710169170268</v>
      </c>
      <c r="AK377" s="1093">
        <f t="shared" si="327"/>
        <v>42.995183251878082</v>
      </c>
      <c r="AL377" s="1093">
        <f t="shared" si="327"/>
        <v>42.914248241891698</v>
      </c>
      <c r="AM377" s="1093">
        <f t="shared" ref="AM377:BR377" si="328">AM136-AM147</f>
        <v>42.833243719814718</v>
      </c>
      <c r="AN377" s="1093">
        <f t="shared" si="328"/>
        <v>42.749640066069524</v>
      </c>
      <c r="AO377" s="1093">
        <f t="shared" si="328"/>
        <v>42.77741268029316</v>
      </c>
      <c r="AP377" s="1093">
        <f t="shared" si="328"/>
        <v>42.805812985475455</v>
      </c>
      <c r="AQ377" s="1093">
        <f t="shared" si="328"/>
        <v>42.83394386052705</v>
      </c>
      <c r="AR377" s="1093">
        <f t="shared" si="328"/>
        <v>42.85594542273347</v>
      </c>
      <c r="AS377" s="1093">
        <f t="shared" si="328"/>
        <v>42.873974714680934</v>
      </c>
      <c r="AT377" s="1093">
        <f t="shared" si="328"/>
        <v>42.892908509355358</v>
      </c>
      <c r="AU377" s="1093">
        <f t="shared" si="328"/>
        <v>42.909516445923096</v>
      </c>
      <c r="AV377" s="1093">
        <f t="shared" si="328"/>
        <v>42.925195656579504</v>
      </c>
      <c r="AW377" s="1093">
        <f t="shared" si="328"/>
        <v>42.941602709411782</v>
      </c>
      <c r="AX377" s="1093">
        <f t="shared" si="328"/>
        <v>42.958451738313975</v>
      </c>
      <c r="AY377" s="1093">
        <f t="shared" si="328"/>
        <v>42.977510797874238</v>
      </c>
      <c r="AZ377" s="1093">
        <f t="shared" si="328"/>
        <v>42.99887848513233</v>
      </c>
      <c r="BA377" s="1093">
        <f t="shared" si="328"/>
        <v>43.02201152778175</v>
      </c>
      <c r="BB377" s="1093">
        <f t="shared" si="328"/>
        <v>43.045237164596656</v>
      </c>
      <c r="BC377" s="1093">
        <f t="shared" si="328"/>
        <v>43.071232591954519</v>
      </c>
      <c r="BD377" s="1093">
        <f t="shared" si="328"/>
        <v>43.09898191585787</v>
      </c>
      <c r="BE377" s="1093">
        <f t="shared" si="328"/>
        <v>43.128949600282482</v>
      </c>
      <c r="BF377" s="1093">
        <f t="shared" si="328"/>
        <v>43.163072130277421</v>
      </c>
      <c r="BG377" s="1093">
        <f t="shared" si="328"/>
        <v>43.200716876592445</v>
      </c>
      <c r="BH377" s="1093">
        <f t="shared" si="328"/>
        <v>43.242098366205887</v>
      </c>
      <c r="BI377" s="1093">
        <f t="shared" si="328"/>
        <v>43.285691010225079</v>
      </c>
      <c r="BJ377" s="1093">
        <f t="shared" si="328"/>
        <v>43.332271844986685</v>
      </c>
      <c r="BK377" s="1093">
        <f t="shared" si="328"/>
        <v>43.381429959688724</v>
      </c>
      <c r="BL377" s="1093">
        <f t="shared" si="328"/>
        <v>43.434182783903218</v>
      </c>
      <c r="BM377" s="1093">
        <f t="shared" si="328"/>
        <v>43.491835321195872</v>
      </c>
      <c r="BN377" s="1093">
        <f t="shared" si="328"/>
        <v>43.553536919754215</v>
      </c>
      <c r="BO377" s="1093">
        <f t="shared" si="328"/>
        <v>43.620808564026923</v>
      </c>
      <c r="BP377" s="1093">
        <f t="shared" si="328"/>
        <v>43.692577018072285</v>
      </c>
      <c r="BQ377" s="1093">
        <f t="shared" si="328"/>
        <v>43.768881006487042</v>
      </c>
      <c r="BR377" s="1093">
        <f t="shared" si="328"/>
        <v>43.84717868765938</v>
      </c>
      <c r="BS377" s="1093">
        <f t="shared" ref="BS377:CI377" si="329">BS136-BS147</f>
        <v>43.928507909040228</v>
      </c>
      <c r="BT377" s="1093">
        <f t="shared" si="329"/>
        <v>44.012460820730105</v>
      </c>
      <c r="BU377" s="1093">
        <f t="shared" si="329"/>
        <v>44.099737669794941</v>
      </c>
      <c r="BV377" s="1093">
        <f t="shared" si="329"/>
        <v>44.187627729991952</v>
      </c>
      <c r="BW377" s="1093">
        <f t="shared" si="329"/>
        <v>44.277514965110633</v>
      </c>
      <c r="BX377" s="1093">
        <f t="shared" si="329"/>
        <v>44.36915474329696</v>
      </c>
      <c r="BY377" s="1093">
        <f t="shared" si="329"/>
        <v>44.463096614406496</v>
      </c>
      <c r="BZ377" s="1093">
        <f t="shared" si="329"/>
        <v>44.557909672085401</v>
      </c>
      <c r="CA377" s="1093">
        <f t="shared" si="329"/>
        <v>44.653849163571842</v>
      </c>
      <c r="CB377" s="1093">
        <f t="shared" si="329"/>
        <v>44.748899320954223</v>
      </c>
      <c r="CC377" s="1093">
        <f t="shared" si="329"/>
        <v>44.844728533547951</v>
      </c>
      <c r="CD377" s="1093">
        <f t="shared" si="329"/>
        <v>44.939802265509179</v>
      </c>
      <c r="CE377" s="1093">
        <f t="shared" si="329"/>
        <v>45.034170416930017</v>
      </c>
      <c r="CF377" s="1093">
        <f t="shared" si="329"/>
        <v>45.126826702217294</v>
      </c>
      <c r="CG377" s="1093">
        <f t="shared" si="329"/>
        <v>45.218329930895116</v>
      </c>
      <c r="CH377" s="1093">
        <f t="shared" si="329"/>
        <v>45.307943486980996</v>
      </c>
      <c r="CI377" s="1094">
        <f t="shared" si="329"/>
        <v>48.318374824000017</v>
      </c>
    </row>
    <row r="378" spans="2:87" x14ac:dyDescent="0.35">
      <c r="B378" s="1088"/>
      <c r="C378" s="1089" t="s">
        <v>640</v>
      </c>
      <c r="D378" s="1089"/>
      <c r="E378" s="1089" t="s">
        <v>305</v>
      </c>
      <c r="F378" s="1089">
        <v>2</v>
      </c>
      <c r="G378" s="1093">
        <f t="shared" ref="G378:AL378" si="330">G137-G148</f>
        <v>17.561084109999999</v>
      </c>
      <c r="H378" s="1093">
        <f t="shared" si="330"/>
        <v>16.341084110000001</v>
      </c>
      <c r="I378" s="1093">
        <f t="shared" si="330"/>
        <v>15.372449890000002</v>
      </c>
      <c r="J378" s="1093">
        <f t="shared" si="330"/>
        <v>14.395511370000001</v>
      </c>
      <c r="K378" s="1093">
        <f t="shared" si="330"/>
        <v>13.455677140000001</v>
      </c>
      <c r="L378" s="1093">
        <f t="shared" si="330"/>
        <v>13.115094260000001</v>
      </c>
      <c r="M378" s="1093">
        <f t="shared" si="330"/>
        <v>12.087760211818178</v>
      </c>
      <c r="N378" s="1093">
        <f t="shared" si="330"/>
        <v>11.038952833636362</v>
      </c>
      <c r="O378" s="1093">
        <f t="shared" si="330"/>
        <v>9.9881537754545384</v>
      </c>
      <c r="P378" s="1093">
        <f t="shared" si="330"/>
        <v>8.9340422072727197</v>
      </c>
      <c r="Q378" s="1093">
        <f t="shared" si="330"/>
        <v>7.9001905090908995</v>
      </c>
      <c r="R378" s="1093">
        <f t="shared" si="330"/>
        <v>6.8429432709090783</v>
      </c>
      <c r="S378" s="1093">
        <f t="shared" si="330"/>
        <v>5.7890458027272595</v>
      </c>
      <c r="T378" s="1093">
        <f t="shared" si="330"/>
        <v>4.73925859454544</v>
      </c>
      <c r="U378" s="1093">
        <f t="shared" si="330"/>
        <v>3.69022247636362</v>
      </c>
      <c r="V378" s="1093">
        <f t="shared" si="330"/>
        <v>2.641295638181802</v>
      </c>
      <c r="W378" s="1093">
        <f t="shared" si="330"/>
        <v>1.5193027099999785</v>
      </c>
      <c r="X378" s="1093">
        <f t="shared" si="330"/>
        <v>1.5276020999999798</v>
      </c>
      <c r="Y378" s="1093">
        <f t="shared" si="330"/>
        <v>1.5375622599999801</v>
      </c>
      <c r="Z378" s="1093">
        <f t="shared" si="330"/>
        <v>1.5418288499999786</v>
      </c>
      <c r="AA378" s="1093">
        <f t="shared" si="330"/>
        <v>1.5488771529999799</v>
      </c>
      <c r="AB378" s="1093">
        <f t="shared" si="330"/>
        <v>1.5565455689999794</v>
      </c>
      <c r="AC378" s="1093">
        <f t="shared" si="330"/>
        <v>1.5637224879999785</v>
      </c>
      <c r="AD378" s="1093">
        <f t="shared" si="330"/>
        <v>1.5709563649999794</v>
      </c>
      <c r="AE378" s="1093">
        <f t="shared" si="330"/>
        <v>1.5770422399999795</v>
      </c>
      <c r="AF378" s="1093">
        <f t="shared" si="330"/>
        <v>1.5822440229999799</v>
      </c>
      <c r="AG378" s="1093">
        <f t="shared" si="330"/>
        <v>1.5879461029999788</v>
      </c>
      <c r="AH378" s="1093">
        <f t="shared" si="330"/>
        <v>1.5940921909999801</v>
      </c>
      <c r="AI378" s="1093">
        <f t="shared" si="330"/>
        <v>1.5996909199999791</v>
      </c>
      <c r="AJ378" s="1093">
        <f t="shared" si="330"/>
        <v>1.6046717269999791</v>
      </c>
      <c r="AK378" s="1093">
        <f t="shared" si="330"/>
        <v>1.6212640089999786</v>
      </c>
      <c r="AL378" s="1093">
        <f t="shared" si="330"/>
        <v>1.6260126829999786</v>
      </c>
      <c r="AM378" s="1093">
        <f t="shared" ref="AM378:BR378" si="331">AM137-AM148</f>
        <v>1.6302785339999781</v>
      </c>
      <c r="AN378" s="1093">
        <f t="shared" si="331"/>
        <v>1.6344038869999791</v>
      </c>
      <c r="AO378" s="1093">
        <f t="shared" si="331"/>
        <v>1.6382320559999783</v>
      </c>
      <c r="AP378" s="1093">
        <f t="shared" si="331"/>
        <v>1.6416854629999795</v>
      </c>
      <c r="AQ378" s="1093">
        <f t="shared" si="331"/>
        <v>1.6457400649999796</v>
      </c>
      <c r="AR378" s="1093">
        <f t="shared" si="331"/>
        <v>1.650051653999979</v>
      </c>
      <c r="AS378" s="1093">
        <f t="shared" si="331"/>
        <v>1.6539442529999793</v>
      </c>
      <c r="AT378" s="1093">
        <f t="shared" si="331"/>
        <v>1.6573930859999795</v>
      </c>
      <c r="AU378" s="1093">
        <f t="shared" si="331"/>
        <v>1.6608493479999797</v>
      </c>
      <c r="AV378" s="1093">
        <f t="shared" si="331"/>
        <v>1.6643525819999789</v>
      </c>
      <c r="AW378" s="1093">
        <f t="shared" si="331"/>
        <v>1.6676340249999795</v>
      </c>
      <c r="AX378" s="1093">
        <f t="shared" si="331"/>
        <v>1.6706571549999794</v>
      </c>
      <c r="AY378" s="1093">
        <f t="shared" si="331"/>
        <v>1.6736416479999798</v>
      </c>
      <c r="AZ378" s="1093">
        <f t="shared" si="331"/>
        <v>1.6766006979999792</v>
      </c>
      <c r="BA378" s="1093">
        <f t="shared" si="331"/>
        <v>1.6797681239999793</v>
      </c>
      <c r="BB378" s="1093">
        <f t="shared" si="331"/>
        <v>1.6828683019999797</v>
      </c>
      <c r="BC378" s="1093">
        <f t="shared" si="331"/>
        <v>1.6857513349999786</v>
      </c>
      <c r="BD378" s="1093">
        <f t="shared" si="331"/>
        <v>1.6885510529999799</v>
      </c>
      <c r="BE378" s="1093">
        <f t="shared" si="331"/>
        <v>1.6912708819999791</v>
      </c>
      <c r="BF378" s="1093">
        <f t="shared" si="331"/>
        <v>1.6939887309999797</v>
      </c>
      <c r="BG378" s="1093">
        <f t="shared" si="331"/>
        <v>1.6965784139999789</v>
      </c>
      <c r="BH378" s="1093">
        <f t="shared" si="331"/>
        <v>1.6991936729999795</v>
      </c>
      <c r="BI378" s="1093">
        <f t="shared" si="331"/>
        <v>1.7017984959999799</v>
      </c>
      <c r="BJ378" s="1093">
        <f t="shared" si="331"/>
        <v>1.7041990019999789</v>
      </c>
      <c r="BK378" s="1093">
        <f t="shared" si="331"/>
        <v>1.7067126749999799</v>
      </c>
      <c r="BL378" s="1093">
        <f t="shared" si="331"/>
        <v>1.7090901019999789</v>
      </c>
      <c r="BM378" s="1093">
        <f t="shared" si="331"/>
        <v>1.7112611859999793</v>
      </c>
      <c r="BN378" s="1093">
        <f t="shared" si="331"/>
        <v>1.7134268969999802</v>
      </c>
      <c r="BO378" s="1093">
        <f t="shared" si="331"/>
        <v>1.7153672629999788</v>
      </c>
      <c r="BP378" s="1093">
        <f t="shared" si="331"/>
        <v>1.7173401859999795</v>
      </c>
      <c r="BQ378" s="1093">
        <f t="shared" si="331"/>
        <v>1.7192793059999789</v>
      </c>
      <c r="BR378" s="1093">
        <f t="shared" si="331"/>
        <v>1.7212611779999789</v>
      </c>
      <c r="BS378" s="1093">
        <f t="shared" ref="BS378:CI378" si="332">BS137-BS148</f>
        <v>1.7231434689999792</v>
      </c>
      <c r="BT378" s="1093">
        <f t="shared" si="332"/>
        <v>1.7249315439999791</v>
      </c>
      <c r="BU378" s="1093">
        <f t="shared" si="332"/>
        <v>1.7266931319999794</v>
      </c>
      <c r="BV378" s="1093">
        <f t="shared" si="332"/>
        <v>1.7284552739999786</v>
      </c>
      <c r="BW378" s="1093">
        <f t="shared" si="332"/>
        <v>1.7301208789999798</v>
      </c>
      <c r="BX378" s="1093">
        <f t="shared" si="332"/>
        <v>1.7317215399999792</v>
      </c>
      <c r="BY378" s="1093">
        <f t="shared" si="332"/>
        <v>1.7332140619999792</v>
      </c>
      <c r="BZ378" s="1093">
        <f t="shared" si="332"/>
        <v>1.734786409999979</v>
      </c>
      <c r="CA378" s="1093">
        <f t="shared" si="332"/>
        <v>1.736327554999979</v>
      </c>
      <c r="CB378" s="1093">
        <f t="shared" si="332"/>
        <v>1.7379348309999791</v>
      </c>
      <c r="CC378" s="1093">
        <f t="shared" si="332"/>
        <v>1.7393833599999793</v>
      </c>
      <c r="CD378" s="1093">
        <f t="shared" si="332"/>
        <v>1.7408057419999792</v>
      </c>
      <c r="CE378" s="1093">
        <f t="shared" si="332"/>
        <v>1.7422263719999793</v>
      </c>
      <c r="CF378" s="1093">
        <f t="shared" si="332"/>
        <v>1.7437082779999789</v>
      </c>
      <c r="CG378" s="1093">
        <f t="shared" si="332"/>
        <v>1.7451225179999788</v>
      </c>
      <c r="CH378" s="1093">
        <f t="shared" si="332"/>
        <v>1.746470127999979</v>
      </c>
      <c r="CI378" s="1094">
        <f t="shared" si="332"/>
        <v>2.8899999999999793</v>
      </c>
    </row>
    <row r="379" spans="2:87" x14ac:dyDescent="0.35">
      <c r="B379" s="1088"/>
      <c r="C379" s="1089" t="s">
        <v>641</v>
      </c>
      <c r="D379" s="1089"/>
      <c r="E379" s="1089" t="s">
        <v>305</v>
      </c>
      <c r="F379" s="1089">
        <v>2</v>
      </c>
      <c r="G379" s="1093">
        <f t="shared" ref="G379:AL379" si="333">G133+G135-G145-G146</f>
        <v>22.470000000000002</v>
      </c>
      <c r="H379" s="1093">
        <f t="shared" si="333"/>
        <v>23.903559690000005</v>
      </c>
      <c r="I379" s="1093">
        <f t="shared" si="333"/>
        <v>24.547230610000003</v>
      </c>
      <c r="J379" s="1093">
        <f t="shared" si="333"/>
        <v>25.587165660000004</v>
      </c>
      <c r="K379" s="1093">
        <f t="shared" si="333"/>
        <v>26.848108380000003</v>
      </c>
      <c r="L379" s="1093">
        <f t="shared" si="333"/>
        <v>27.821185670000002</v>
      </c>
      <c r="M379" s="1093">
        <f t="shared" si="333"/>
        <v>27.999952140000001</v>
      </c>
      <c r="N379" s="1093">
        <f t="shared" si="333"/>
        <v>28.197201370000002</v>
      </c>
      <c r="O379" s="1093">
        <f t="shared" si="333"/>
        <v>28.390065119999999</v>
      </c>
      <c r="P379" s="1093">
        <f t="shared" si="333"/>
        <v>28.528994180000002</v>
      </c>
      <c r="Q379" s="1093">
        <f t="shared" si="333"/>
        <v>28.622555440000003</v>
      </c>
      <c r="R379" s="1093">
        <f t="shared" si="333"/>
        <v>28.851617170000001</v>
      </c>
      <c r="S379" s="1093">
        <f t="shared" si="333"/>
        <v>29.029802210000003</v>
      </c>
      <c r="T379" s="1093">
        <f t="shared" si="333"/>
        <v>29.175029350000003</v>
      </c>
      <c r="U379" s="1093">
        <f t="shared" si="333"/>
        <v>29.367928450000004</v>
      </c>
      <c r="V379" s="1093">
        <f t="shared" si="333"/>
        <v>29.493209850000007</v>
      </c>
      <c r="W379" s="1093">
        <f t="shared" si="333"/>
        <v>29.977829460000002</v>
      </c>
      <c r="X379" s="1093">
        <f t="shared" si="333"/>
        <v>30.470517380000004</v>
      </c>
      <c r="Y379" s="1093">
        <f t="shared" si="333"/>
        <v>30.939892590000007</v>
      </c>
      <c r="Z379" s="1093">
        <f t="shared" si="333"/>
        <v>31.372552450000008</v>
      </c>
      <c r="AA379" s="1093">
        <f t="shared" si="333"/>
        <v>31.449511984000001</v>
      </c>
      <c r="AB379" s="1093">
        <f t="shared" si="333"/>
        <v>31.526471519000005</v>
      </c>
      <c r="AC379" s="1093">
        <f t="shared" si="333"/>
        <v>31.603431053000005</v>
      </c>
      <c r="AD379" s="1093">
        <f t="shared" si="333"/>
        <v>31.680390588000002</v>
      </c>
      <c r="AE379" s="1093">
        <f t="shared" si="333"/>
        <v>31.757350122000002</v>
      </c>
      <c r="AF379" s="1093">
        <f t="shared" si="333"/>
        <v>31.834309657000002</v>
      </c>
      <c r="AG379" s="1093">
        <f t="shared" si="333"/>
        <v>31.911269190999999</v>
      </c>
      <c r="AH379" s="1093">
        <f t="shared" si="333"/>
        <v>31.988228725999999</v>
      </c>
      <c r="AI379" s="1093">
        <f t="shared" si="333"/>
        <v>32.065188259999999</v>
      </c>
      <c r="AJ379" s="1093">
        <f t="shared" si="333"/>
        <v>32.142147794999993</v>
      </c>
      <c r="AK379" s="1093">
        <f t="shared" si="333"/>
        <v>32.219107328999996</v>
      </c>
      <c r="AL379" s="1093">
        <f t="shared" si="333"/>
        <v>32.296066863999997</v>
      </c>
      <c r="AM379" s="1093">
        <f t="shared" ref="AM379:BR379" si="334">AM133+AM135-AM145-AM146</f>
        <v>32.373026398</v>
      </c>
      <c r="AN379" s="1093">
        <f t="shared" si="334"/>
        <v>32.449985932999994</v>
      </c>
      <c r="AO379" s="1093">
        <f t="shared" si="334"/>
        <v>32.526945466999997</v>
      </c>
      <c r="AP379" s="1093">
        <f t="shared" si="334"/>
        <v>32.603905001000001</v>
      </c>
      <c r="AQ379" s="1093">
        <f t="shared" si="334"/>
        <v>32.680864535999994</v>
      </c>
      <c r="AR379" s="1093">
        <f t="shared" si="334"/>
        <v>32.757824069999998</v>
      </c>
      <c r="AS379" s="1093">
        <f t="shared" si="334"/>
        <v>32.834783604999998</v>
      </c>
      <c r="AT379" s="1093">
        <f t="shared" si="334"/>
        <v>32.911743138999995</v>
      </c>
      <c r="AU379" s="1093">
        <f t="shared" si="334"/>
        <v>32.988702683999996</v>
      </c>
      <c r="AV379" s="1093">
        <f t="shared" si="334"/>
        <v>33.065662218</v>
      </c>
      <c r="AW379" s="1093">
        <f t="shared" si="334"/>
        <v>33.142621752999993</v>
      </c>
      <c r="AX379" s="1093">
        <f t="shared" si="334"/>
        <v>33.219581286999997</v>
      </c>
      <c r="AY379" s="1093">
        <f t="shared" si="334"/>
        <v>33.296540821999997</v>
      </c>
      <c r="AZ379" s="1093">
        <f t="shared" si="334"/>
        <v>33.373500355999994</v>
      </c>
      <c r="BA379" s="1093">
        <f t="shared" si="334"/>
        <v>33.450459890999994</v>
      </c>
      <c r="BB379" s="1093">
        <f t="shared" si="334"/>
        <v>33.527419424999998</v>
      </c>
      <c r="BC379" s="1093">
        <f t="shared" si="334"/>
        <v>33.604378959000002</v>
      </c>
      <c r="BD379" s="1093">
        <f t="shared" si="334"/>
        <v>33.681338493999995</v>
      </c>
      <c r="BE379" s="1093">
        <f t="shared" si="334"/>
        <v>33.758298027999999</v>
      </c>
      <c r="BF379" s="1093">
        <f t="shared" si="334"/>
        <v>33.835257562999999</v>
      </c>
      <c r="BG379" s="1093">
        <f t="shared" si="334"/>
        <v>33.912217096999996</v>
      </c>
      <c r="BH379" s="1093">
        <f t="shared" si="334"/>
        <v>33.989176631999996</v>
      </c>
      <c r="BI379" s="1093">
        <f t="shared" si="334"/>
        <v>34.066136166</v>
      </c>
      <c r="BJ379" s="1093">
        <f t="shared" si="334"/>
        <v>34.143095700999993</v>
      </c>
      <c r="BK379" s="1093">
        <f t="shared" si="334"/>
        <v>34.220055234999997</v>
      </c>
      <c r="BL379" s="1093">
        <f t="shared" si="334"/>
        <v>34.297014769999997</v>
      </c>
      <c r="BM379" s="1093">
        <f t="shared" si="334"/>
        <v>34.373974304000001</v>
      </c>
      <c r="BN379" s="1093">
        <f t="shared" si="334"/>
        <v>34.450933838999994</v>
      </c>
      <c r="BO379" s="1093">
        <f t="shared" si="334"/>
        <v>34.527893372999998</v>
      </c>
      <c r="BP379" s="1093">
        <f t="shared" si="334"/>
        <v>34.604852907999998</v>
      </c>
      <c r="BQ379" s="1093">
        <f t="shared" si="334"/>
        <v>34.681812441999995</v>
      </c>
      <c r="BR379" s="1093">
        <f t="shared" si="334"/>
        <v>34.758771975999998</v>
      </c>
      <c r="BS379" s="1093">
        <f t="shared" ref="BS379:CI379" si="335">BS133+BS135-BS145-BS146</f>
        <v>34.835731510999999</v>
      </c>
      <c r="BT379" s="1093">
        <f t="shared" si="335"/>
        <v>34.912691044999995</v>
      </c>
      <c r="BU379" s="1093">
        <f t="shared" si="335"/>
        <v>34.989650579999996</v>
      </c>
      <c r="BV379" s="1093">
        <f t="shared" si="335"/>
        <v>35.066610113999999</v>
      </c>
      <c r="BW379" s="1093">
        <f t="shared" si="335"/>
        <v>35.143569649</v>
      </c>
      <c r="BX379" s="1093">
        <f t="shared" si="335"/>
        <v>35.220529182999996</v>
      </c>
      <c r="BY379" s="1093">
        <f t="shared" si="335"/>
        <v>35.297488717999997</v>
      </c>
      <c r="BZ379" s="1093">
        <f t="shared" si="335"/>
        <v>35.374448252000001</v>
      </c>
      <c r="CA379" s="1093">
        <f t="shared" si="335"/>
        <v>35.451407786999994</v>
      </c>
      <c r="CB379" s="1093">
        <f t="shared" si="335"/>
        <v>35.528367320999998</v>
      </c>
      <c r="CC379" s="1093">
        <f t="shared" si="335"/>
        <v>35.605326855999998</v>
      </c>
      <c r="CD379" s="1093">
        <f t="shared" si="335"/>
        <v>35.682286389999994</v>
      </c>
      <c r="CE379" s="1093">
        <f t="shared" si="335"/>
        <v>35.759245924999995</v>
      </c>
      <c r="CF379" s="1093">
        <f t="shared" si="335"/>
        <v>35.836205458999999</v>
      </c>
      <c r="CG379" s="1093">
        <f t="shared" si="335"/>
        <v>35.913164992999995</v>
      </c>
      <c r="CH379" s="1093">
        <f t="shared" si="335"/>
        <v>35.913164992999995</v>
      </c>
      <c r="CI379" s="1094">
        <f t="shared" si="335"/>
        <v>35.913164992999995</v>
      </c>
    </row>
    <row r="380" spans="2:87" x14ac:dyDescent="0.35">
      <c r="B380" s="1088"/>
      <c r="C380" s="1089" t="s">
        <v>390</v>
      </c>
      <c r="D380" s="1089"/>
      <c r="E380" s="1089" t="s">
        <v>305</v>
      </c>
      <c r="F380" s="1089">
        <v>2</v>
      </c>
      <c r="G380" s="1093">
        <f t="shared" ref="G380:AL380" si="336">G151</f>
        <v>13.5</v>
      </c>
      <c r="H380" s="1093">
        <f t="shared" si="336"/>
        <v>13.5</v>
      </c>
      <c r="I380" s="1093">
        <f t="shared" si="336"/>
        <v>13.510000000000002</v>
      </c>
      <c r="J380" s="1093">
        <f t="shared" si="336"/>
        <v>13.510000000000002</v>
      </c>
      <c r="K380" s="1093">
        <f t="shared" si="336"/>
        <v>13.510000000000002</v>
      </c>
      <c r="L380" s="1093">
        <f t="shared" si="336"/>
        <v>13.2</v>
      </c>
      <c r="M380" s="1093">
        <f t="shared" si="336"/>
        <v>12.719999999999999</v>
      </c>
      <c r="N380" s="1093">
        <f t="shared" si="336"/>
        <v>12.240000000000002</v>
      </c>
      <c r="O380" s="1093">
        <f t="shared" si="336"/>
        <v>11.76</v>
      </c>
      <c r="P380" s="1093">
        <f t="shared" si="336"/>
        <v>11.280000000000001</v>
      </c>
      <c r="Q380" s="1093">
        <f t="shared" si="336"/>
        <v>10.8</v>
      </c>
      <c r="R380" s="1093">
        <f t="shared" si="336"/>
        <v>10.458</v>
      </c>
      <c r="S380" s="1093">
        <f t="shared" si="336"/>
        <v>10.116</v>
      </c>
      <c r="T380" s="1093">
        <f t="shared" si="336"/>
        <v>9.7740000000000009</v>
      </c>
      <c r="U380" s="1093">
        <f t="shared" si="336"/>
        <v>9.4320000000000004</v>
      </c>
      <c r="V380" s="1093">
        <f t="shared" si="336"/>
        <v>9.09</v>
      </c>
      <c r="W380" s="1093">
        <f t="shared" si="336"/>
        <v>8.7319999999999993</v>
      </c>
      <c r="X380" s="1093">
        <f t="shared" si="336"/>
        <v>8.3739999999999988</v>
      </c>
      <c r="Y380" s="1093">
        <f t="shared" si="336"/>
        <v>8.016</v>
      </c>
      <c r="Z380" s="1093">
        <f t="shared" si="336"/>
        <v>7.6580000000000004</v>
      </c>
      <c r="AA380" s="1093">
        <f t="shared" si="336"/>
        <v>7.3</v>
      </c>
      <c r="AB380" s="1093">
        <f t="shared" si="336"/>
        <v>7.3</v>
      </c>
      <c r="AC380" s="1093">
        <f t="shared" si="336"/>
        <v>7.3</v>
      </c>
      <c r="AD380" s="1093">
        <f t="shared" si="336"/>
        <v>7.3</v>
      </c>
      <c r="AE380" s="1093">
        <f t="shared" si="336"/>
        <v>7.3</v>
      </c>
      <c r="AF380" s="1093">
        <f t="shared" si="336"/>
        <v>7.3</v>
      </c>
      <c r="AG380" s="1093">
        <f t="shared" si="336"/>
        <v>7.3</v>
      </c>
      <c r="AH380" s="1093">
        <f t="shared" si="336"/>
        <v>7.3</v>
      </c>
      <c r="AI380" s="1093">
        <f t="shared" si="336"/>
        <v>7.3</v>
      </c>
      <c r="AJ380" s="1093">
        <f t="shared" si="336"/>
        <v>7.3</v>
      </c>
      <c r="AK380" s="1093">
        <f t="shared" si="336"/>
        <v>7.3</v>
      </c>
      <c r="AL380" s="1093">
        <f t="shared" si="336"/>
        <v>7.3</v>
      </c>
      <c r="AM380" s="1093">
        <f t="shared" ref="AM380:BR380" si="337">AM151</f>
        <v>7.3</v>
      </c>
      <c r="AN380" s="1093">
        <f t="shared" si="337"/>
        <v>7.3</v>
      </c>
      <c r="AO380" s="1093">
        <f t="shared" si="337"/>
        <v>7.3</v>
      </c>
      <c r="AP380" s="1093">
        <f t="shared" si="337"/>
        <v>7.3</v>
      </c>
      <c r="AQ380" s="1093">
        <f t="shared" si="337"/>
        <v>7.3</v>
      </c>
      <c r="AR380" s="1093">
        <f t="shared" si="337"/>
        <v>7.3</v>
      </c>
      <c r="AS380" s="1093">
        <f t="shared" si="337"/>
        <v>7.3</v>
      </c>
      <c r="AT380" s="1093">
        <f t="shared" si="337"/>
        <v>7.3</v>
      </c>
      <c r="AU380" s="1093">
        <f t="shared" si="337"/>
        <v>7.3</v>
      </c>
      <c r="AV380" s="1093">
        <f t="shared" si="337"/>
        <v>7.3</v>
      </c>
      <c r="AW380" s="1093">
        <f t="shared" si="337"/>
        <v>7.3</v>
      </c>
      <c r="AX380" s="1093">
        <f t="shared" si="337"/>
        <v>7.3</v>
      </c>
      <c r="AY380" s="1093">
        <f t="shared" si="337"/>
        <v>7.3</v>
      </c>
      <c r="AZ380" s="1093">
        <f t="shared" si="337"/>
        <v>7.3</v>
      </c>
      <c r="BA380" s="1093">
        <f t="shared" si="337"/>
        <v>7.3</v>
      </c>
      <c r="BB380" s="1093">
        <f t="shared" si="337"/>
        <v>7.3</v>
      </c>
      <c r="BC380" s="1093">
        <f t="shared" si="337"/>
        <v>7.3</v>
      </c>
      <c r="BD380" s="1093">
        <f t="shared" si="337"/>
        <v>7.3</v>
      </c>
      <c r="BE380" s="1093">
        <f t="shared" si="337"/>
        <v>7.3</v>
      </c>
      <c r="BF380" s="1093">
        <f t="shared" si="337"/>
        <v>7.3</v>
      </c>
      <c r="BG380" s="1093">
        <f t="shared" si="337"/>
        <v>7.3</v>
      </c>
      <c r="BH380" s="1093">
        <f t="shared" si="337"/>
        <v>7.3</v>
      </c>
      <c r="BI380" s="1093">
        <f t="shared" si="337"/>
        <v>7.3</v>
      </c>
      <c r="BJ380" s="1093">
        <f t="shared" si="337"/>
        <v>7.3</v>
      </c>
      <c r="BK380" s="1093">
        <f t="shared" si="337"/>
        <v>7.3</v>
      </c>
      <c r="BL380" s="1093">
        <f t="shared" si="337"/>
        <v>7.3</v>
      </c>
      <c r="BM380" s="1093">
        <f t="shared" si="337"/>
        <v>7.3</v>
      </c>
      <c r="BN380" s="1093">
        <f t="shared" si="337"/>
        <v>7.3</v>
      </c>
      <c r="BO380" s="1093">
        <f t="shared" si="337"/>
        <v>7.3</v>
      </c>
      <c r="BP380" s="1093">
        <f t="shared" si="337"/>
        <v>7.3</v>
      </c>
      <c r="BQ380" s="1093">
        <f t="shared" si="337"/>
        <v>7.3</v>
      </c>
      <c r="BR380" s="1093">
        <f t="shared" si="337"/>
        <v>7.3</v>
      </c>
      <c r="BS380" s="1093">
        <f t="shared" ref="BS380:CH380" si="338">BS151</f>
        <v>7.3</v>
      </c>
      <c r="BT380" s="1093">
        <f t="shared" si="338"/>
        <v>7.3</v>
      </c>
      <c r="BU380" s="1093">
        <f t="shared" si="338"/>
        <v>7.3</v>
      </c>
      <c r="BV380" s="1093">
        <f t="shared" si="338"/>
        <v>7.3</v>
      </c>
      <c r="BW380" s="1093">
        <f t="shared" si="338"/>
        <v>7.3</v>
      </c>
      <c r="BX380" s="1093">
        <f t="shared" si="338"/>
        <v>7.3</v>
      </c>
      <c r="BY380" s="1093">
        <f t="shared" si="338"/>
        <v>7.3</v>
      </c>
      <c r="BZ380" s="1093">
        <f t="shared" si="338"/>
        <v>7.3</v>
      </c>
      <c r="CA380" s="1093">
        <f t="shared" si="338"/>
        <v>7.3</v>
      </c>
      <c r="CB380" s="1093">
        <f t="shared" si="338"/>
        <v>7.3</v>
      </c>
      <c r="CC380" s="1093">
        <f t="shared" si="338"/>
        <v>7.3</v>
      </c>
      <c r="CD380" s="1093">
        <f t="shared" si="338"/>
        <v>7.3</v>
      </c>
      <c r="CE380" s="1093">
        <f t="shared" si="338"/>
        <v>7.3</v>
      </c>
      <c r="CF380" s="1093">
        <f t="shared" si="338"/>
        <v>7.3</v>
      </c>
      <c r="CG380" s="1093">
        <f t="shared" si="338"/>
        <v>7.3</v>
      </c>
      <c r="CH380" s="1093">
        <f t="shared" si="338"/>
        <v>7.3</v>
      </c>
      <c r="CI380" s="1094">
        <v>3.67</v>
      </c>
    </row>
    <row r="381" spans="2:87" x14ac:dyDescent="0.35">
      <c r="B381" s="1088"/>
      <c r="C381" s="1089" t="s">
        <v>642</v>
      </c>
      <c r="D381" s="1089"/>
      <c r="E381" s="1089" t="s">
        <v>305</v>
      </c>
      <c r="F381" s="1089">
        <v>2</v>
      </c>
      <c r="G381" s="1093">
        <f t="shared" ref="G381:AL381" si="339">G175-SUM(G377:G380)</f>
        <v>0.54000000000000625</v>
      </c>
      <c r="H381" s="1093">
        <f t="shared" si="339"/>
        <v>0.54000000000000625</v>
      </c>
      <c r="I381" s="1093">
        <f t="shared" si="339"/>
        <v>0.54000000000000625</v>
      </c>
      <c r="J381" s="1093">
        <f t="shared" si="339"/>
        <v>0.53999999999997783</v>
      </c>
      <c r="K381" s="1093">
        <f t="shared" si="339"/>
        <v>0.54000000000000625</v>
      </c>
      <c r="L381" s="1093">
        <f t="shared" si="339"/>
        <v>0.54000000000000625</v>
      </c>
      <c r="M381" s="1093">
        <f t="shared" si="339"/>
        <v>0.54000000000000625</v>
      </c>
      <c r="N381" s="1093">
        <f t="shared" si="339"/>
        <v>0.54000000000002046</v>
      </c>
      <c r="O381" s="1093">
        <f t="shared" si="339"/>
        <v>0.54000000000000625</v>
      </c>
      <c r="P381" s="1093">
        <f t="shared" si="339"/>
        <v>0.54000000000002046</v>
      </c>
      <c r="Q381" s="1093">
        <f t="shared" si="339"/>
        <v>0.54000000000000625</v>
      </c>
      <c r="R381" s="1093">
        <f t="shared" si="339"/>
        <v>0.54000000000002046</v>
      </c>
      <c r="S381" s="1093">
        <f t="shared" si="339"/>
        <v>0.54000000000000625</v>
      </c>
      <c r="T381" s="1093">
        <f t="shared" si="339"/>
        <v>0.54000000000002046</v>
      </c>
      <c r="U381" s="1093">
        <f t="shared" si="339"/>
        <v>0.54000000000000625</v>
      </c>
      <c r="V381" s="1093">
        <f t="shared" si="339"/>
        <v>0.54000000000000625</v>
      </c>
      <c r="W381" s="1093">
        <f t="shared" si="339"/>
        <v>0.54000000000000625</v>
      </c>
      <c r="X381" s="1093">
        <f t="shared" si="339"/>
        <v>0.54000000000000625</v>
      </c>
      <c r="Y381" s="1093">
        <f t="shared" si="339"/>
        <v>0.54000000000000625</v>
      </c>
      <c r="Z381" s="1093">
        <f t="shared" si="339"/>
        <v>0.54000000000000625</v>
      </c>
      <c r="AA381" s="1093">
        <f t="shared" si="339"/>
        <v>0.54000000000002046</v>
      </c>
      <c r="AB381" s="1093">
        <f t="shared" si="339"/>
        <v>0.54000000000002046</v>
      </c>
      <c r="AC381" s="1093">
        <f t="shared" si="339"/>
        <v>0.54000000000002046</v>
      </c>
      <c r="AD381" s="1093">
        <f t="shared" si="339"/>
        <v>0.54000000000002046</v>
      </c>
      <c r="AE381" s="1093">
        <f t="shared" si="339"/>
        <v>0.54000000000002046</v>
      </c>
      <c r="AF381" s="1093">
        <f t="shared" si="339"/>
        <v>0.54000000000002046</v>
      </c>
      <c r="AG381" s="1093">
        <f t="shared" si="339"/>
        <v>0.54000000000002046</v>
      </c>
      <c r="AH381" s="1093">
        <f t="shared" si="339"/>
        <v>0.54000000000002046</v>
      </c>
      <c r="AI381" s="1093">
        <f t="shared" si="339"/>
        <v>0.54000000000002046</v>
      </c>
      <c r="AJ381" s="1093">
        <f t="shared" si="339"/>
        <v>0.54000000000002046</v>
      </c>
      <c r="AK381" s="1093">
        <f t="shared" si="339"/>
        <v>0.54000000000002046</v>
      </c>
      <c r="AL381" s="1093">
        <f t="shared" si="339"/>
        <v>0.54000000000000625</v>
      </c>
      <c r="AM381" s="1093">
        <f t="shared" ref="AM381:BR381" si="340">AM175-SUM(AM377:AM380)</f>
        <v>0.54000000000002046</v>
      </c>
      <c r="AN381" s="1093">
        <f t="shared" si="340"/>
        <v>0.54000000000003467</v>
      </c>
      <c r="AO381" s="1093">
        <f t="shared" si="340"/>
        <v>0.54000000000002046</v>
      </c>
      <c r="AP381" s="1093">
        <f t="shared" si="340"/>
        <v>0.54000000000003467</v>
      </c>
      <c r="AQ381" s="1093">
        <f t="shared" si="340"/>
        <v>0.54000000000003467</v>
      </c>
      <c r="AR381" s="1093">
        <f t="shared" si="340"/>
        <v>0.54000000000002046</v>
      </c>
      <c r="AS381" s="1093">
        <f t="shared" si="340"/>
        <v>0.54000000000000625</v>
      </c>
      <c r="AT381" s="1093">
        <f t="shared" si="340"/>
        <v>0.54000000000002046</v>
      </c>
      <c r="AU381" s="1093">
        <f t="shared" si="340"/>
        <v>0.54000000000003467</v>
      </c>
      <c r="AV381" s="1093">
        <f t="shared" si="340"/>
        <v>0.54000000000002046</v>
      </c>
      <c r="AW381" s="1093">
        <f t="shared" si="340"/>
        <v>0.54000000000002046</v>
      </c>
      <c r="AX381" s="1093">
        <f t="shared" si="340"/>
        <v>0.54000000000002046</v>
      </c>
      <c r="AY381" s="1093">
        <f t="shared" si="340"/>
        <v>0.54000000000002046</v>
      </c>
      <c r="AZ381" s="1093">
        <f t="shared" si="340"/>
        <v>0.54000000000002046</v>
      </c>
      <c r="BA381" s="1093">
        <f t="shared" si="340"/>
        <v>0.54000000000000625</v>
      </c>
      <c r="BB381" s="1093">
        <f t="shared" si="340"/>
        <v>0.54000000000002046</v>
      </c>
      <c r="BC381" s="1093">
        <f t="shared" si="340"/>
        <v>0.54000000000003467</v>
      </c>
      <c r="BD381" s="1093">
        <f t="shared" si="340"/>
        <v>0.54000000000003467</v>
      </c>
      <c r="BE381" s="1093">
        <f t="shared" si="340"/>
        <v>0.54000000000002046</v>
      </c>
      <c r="BF381" s="1093">
        <f t="shared" si="340"/>
        <v>0.54000000000002046</v>
      </c>
      <c r="BG381" s="1093">
        <f t="shared" si="340"/>
        <v>0.54000000000002046</v>
      </c>
      <c r="BH381" s="1093">
        <f t="shared" si="340"/>
        <v>0.54000000000003467</v>
      </c>
      <c r="BI381" s="1093">
        <f t="shared" si="340"/>
        <v>0.54000000000003467</v>
      </c>
      <c r="BJ381" s="1093">
        <f t="shared" si="340"/>
        <v>0.54000000000000625</v>
      </c>
      <c r="BK381" s="1093">
        <f t="shared" si="340"/>
        <v>0.54000000000002046</v>
      </c>
      <c r="BL381" s="1093">
        <f t="shared" si="340"/>
        <v>0.54000000000002046</v>
      </c>
      <c r="BM381" s="1093">
        <f t="shared" si="340"/>
        <v>0.54000000000002046</v>
      </c>
      <c r="BN381" s="1093">
        <f t="shared" si="340"/>
        <v>0.54000000000000625</v>
      </c>
      <c r="BO381" s="1093">
        <f t="shared" si="340"/>
        <v>0.54000000000002046</v>
      </c>
      <c r="BP381" s="1093">
        <f t="shared" si="340"/>
        <v>0.54000000000003467</v>
      </c>
      <c r="BQ381" s="1093">
        <f t="shared" si="340"/>
        <v>0.54000000000002046</v>
      </c>
      <c r="BR381" s="1093">
        <f t="shared" si="340"/>
        <v>0.54000000000000625</v>
      </c>
      <c r="BS381" s="1093">
        <f t="shared" ref="BS381:CH381" si="341">BS175-SUM(BS377:BS380)</f>
        <v>0.54000000000002046</v>
      </c>
      <c r="BT381" s="1093">
        <f t="shared" si="341"/>
        <v>0.54000000000000625</v>
      </c>
      <c r="BU381" s="1093">
        <f t="shared" si="341"/>
        <v>0.54000000000002046</v>
      </c>
      <c r="BV381" s="1093">
        <f t="shared" si="341"/>
        <v>0.54000000000002046</v>
      </c>
      <c r="BW381" s="1093">
        <f t="shared" si="341"/>
        <v>0.54000000000003467</v>
      </c>
      <c r="BX381" s="1093">
        <f t="shared" si="341"/>
        <v>0.54000000000002046</v>
      </c>
      <c r="BY381" s="1093">
        <f t="shared" si="341"/>
        <v>0.54000000000003467</v>
      </c>
      <c r="BZ381" s="1093">
        <f t="shared" si="341"/>
        <v>0.54000000000003467</v>
      </c>
      <c r="CA381" s="1093">
        <f t="shared" si="341"/>
        <v>0.54000000000002046</v>
      </c>
      <c r="CB381" s="1093">
        <f t="shared" si="341"/>
        <v>0.54000000000002046</v>
      </c>
      <c r="CC381" s="1093">
        <f t="shared" si="341"/>
        <v>0.54000000000003467</v>
      </c>
      <c r="CD381" s="1093">
        <f t="shared" si="341"/>
        <v>0.54000000000002046</v>
      </c>
      <c r="CE381" s="1093">
        <f t="shared" si="341"/>
        <v>0.54000000000002046</v>
      </c>
      <c r="CF381" s="1093">
        <f t="shared" si="341"/>
        <v>0.54000000000002046</v>
      </c>
      <c r="CG381" s="1093">
        <f t="shared" si="341"/>
        <v>0.54000000000002046</v>
      </c>
      <c r="CH381" s="1093">
        <f t="shared" si="341"/>
        <v>0.54000000000002046</v>
      </c>
      <c r="CI381" s="1094">
        <v>5.71</v>
      </c>
    </row>
    <row r="382" spans="2:87" x14ac:dyDescent="0.35">
      <c r="B382" s="1088"/>
      <c r="C382" s="1089" t="s">
        <v>643</v>
      </c>
      <c r="D382" s="1089"/>
      <c r="E382" s="1089" t="s">
        <v>305</v>
      </c>
      <c r="F382" s="1089">
        <v>2</v>
      </c>
      <c r="G382" s="1093">
        <f t="shared" ref="G382:AL382" si="342">G132</f>
        <v>99.100000000000009</v>
      </c>
      <c r="H382" s="1093">
        <f t="shared" si="342"/>
        <v>99.100000000000009</v>
      </c>
      <c r="I382" s="1093">
        <f t="shared" si="342"/>
        <v>99.100000000000009</v>
      </c>
      <c r="J382" s="1093">
        <f t="shared" si="342"/>
        <v>99.100000000000009</v>
      </c>
      <c r="K382" s="1093">
        <f t="shared" si="342"/>
        <v>99.100000000000009</v>
      </c>
      <c r="L382" s="1093">
        <f t="shared" si="342"/>
        <v>97.100000000000009</v>
      </c>
      <c r="M382" s="1093">
        <f t="shared" si="342"/>
        <v>95.767847338129513</v>
      </c>
      <c r="N382" s="1093">
        <f t="shared" si="342"/>
        <v>95.619947338129521</v>
      </c>
      <c r="O382" s="1093">
        <f t="shared" si="342"/>
        <v>95.112047338129514</v>
      </c>
      <c r="P382" s="1093">
        <f t="shared" si="342"/>
        <v>94.964147338129521</v>
      </c>
      <c r="Q382" s="1093">
        <f t="shared" si="342"/>
        <v>94.816247338129514</v>
      </c>
      <c r="R382" s="1093">
        <f t="shared" si="342"/>
        <v>89.158347338129516</v>
      </c>
      <c r="S382" s="1093">
        <f t="shared" si="342"/>
        <v>101.51044733812951</v>
      </c>
      <c r="T382" s="1093">
        <f t="shared" si="342"/>
        <v>102.36254733812952</v>
      </c>
      <c r="U382" s="1093">
        <f t="shared" si="342"/>
        <v>102.21464733812951</v>
      </c>
      <c r="V382" s="1093">
        <f t="shared" si="342"/>
        <v>102.06674733812952</v>
      </c>
      <c r="W382" s="1093">
        <f t="shared" si="342"/>
        <v>101.91884733812951</v>
      </c>
      <c r="X382" s="1093">
        <f t="shared" si="342"/>
        <v>119.77094733812953</v>
      </c>
      <c r="Y382" s="1093">
        <f t="shared" si="342"/>
        <v>119.62304733812951</v>
      </c>
      <c r="Z382" s="1093">
        <f t="shared" si="342"/>
        <v>119.47514733812952</v>
      </c>
      <c r="AA382" s="1093">
        <f t="shared" si="342"/>
        <v>119.32724733812952</v>
      </c>
      <c r="AB382" s="1093">
        <f t="shared" si="342"/>
        <v>94.29000000000002</v>
      </c>
      <c r="AC382" s="1093">
        <f t="shared" si="342"/>
        <v>94.29000000000002</v>
      </c>
      <c r="AD382" s="1093">
        <f t="shared" si="342"/>
        <v>94.29000000000002</v>
      </c>
      <c r="AE382" s="1093">
        <f t="shared" si="342"/>
        <v>94.29000000000002</v>
      </c>
      <c r="AF382" s="1093">
        <f t="shared" si="342"/>
        <v>94.29000000000002</v>
      </c>
      <c r="AG382" s="1093">
        <f t="shared" si="342"/>
        <v>94.29000000000002</v>
      </c>
      <c r="AH382" s="1093">
        <f t="shared" si="342"/>
        <v>94.29000000000002</v>
      </c>
      <c r="AI382" s="1093">
        <f t="shared" si="342"/>
        <v>94.29000000000002</v>
      </c>
      <c r="AJ382" s="1093">
        <f t="shared" si="342"/>
        <v>94.29000000000002</v>
      </c>
      <c r="AK382" s="1093">
        <f t="shared" si="342"/>
        <v>94.29000000000002</v>
      </c>
      <c r="AL382" s="1093">
        <f t="shared" si="342"/>
        <v>94.29000000000002</v>
      </c>
      <c r="AM382" s="1093">
        <f t="shared" ref="AM382:BR382" si="343">AM132</f>
        <v>94.29000000000002</v>
      </c>
      <c r="AN382" s="1093">
        <f t="shared" si="343"/>
        <v>94.29000000000002</v>
      </c>
      <c r="AO382" s="1093">
        <f t="shared" si="343"/>
        <v>94.29000000000002</v>
      </c>
      <c r="AP382" s="1093">
        <f t="shared" si="343"/>
        <v>94.29000000000002</v>
      </c>
      <c r="AQ382" s="1093">
        <f t="shared" si="343"/>
        <v>94.29000000000002</v>
      </c>
      <c r="AR382" s="1093">
        <f t="shared" si="343"/>
        <v>94.29000000000002</v>
      </c>
      <c r="AS382" s="1093">
        <f t="shared" si="343"/>
        <v>94.29000000000002</v>
      </c>
      <c r="AT382" s="1093">
        <f t="shared" si="343"/>
        <v>94.29000000000002</v>
      </c>
      <c r="AU382" s="1093">
        <f t="shared" si="343"/>
        <v>94.29000000000002</v>
      </c>
      <c r="AV382" s="1093">
        <f t="shared" si="343"/>
        <v>94.29000000000002</v>
      </c>
      <c r="AW382" s="1093">
        <f t="shared" si="343"/>
        <v>94.29000000000002</v>
      </c>
      <c r="AX382" s="1093">
        <f t="shared" si="343"/>
        <v>94.29000000000002</v>
      </c>
      <c r="AY382" s="1093">
        <f t="shared" si="343"/>
        <v>94.29000000000002</v>
      </c>
      <c r="AZ382" s="1093">
        <f t="shared" si="343"/>
        <v>94.29000000000002</v>
      </c>
      <c r="BA382" s="1093">
        <f t="shared" si="343"/>
        <v>94.29000000000002</v>
      </c>
      <c r="BB382" s="1093">
        <f t="shared" si="343"/>
        <v>94.29000000000002</v>
      </c>
      <c r="BC382" s="1093">
        <f t="shared" si="343"/>
        <v>94.29000000000002</v>
      </c>
      <c r="BD382" s="1093">
        <f t="shared" si="343"/>
        <v>94.29000000000002</v>
      </c>
      <c r="BE382" s="1093">
        <f t="shared" si="343"/>
        <v>96.29000000000002</v>
      </c>
      <c r="BF382" s="1093">
        <f t="shared" si="343"/>
        <v>96.29000000000002</v>
      </c>
      <c r="BG382" s="1093">
        <f t="shared" si="343"/>
        <v>96.29000000000002</v>
      </c>
      <c r="BH382" s="1093">
        <f t="shared" si="343"/>
        <v>96.29000000000002</v>
      </c>
      <c r="BI382" s="1093">
        <f t="shared" si="343"/>
        <v>96.29000000000002</v>
      </c>
      <c r="BJ382" s="1093">
        <f t="shared" si="343"/>
        <v>96.29000000000002</v>
      </c>
      <c r="BK382" s="1093">
        <f t="shared" si="343"/>
        <v>96.29000000000002</v>
      </c>
      <c r="BL382" s="1093">
        <f t="shared" si="343"/>
        <v>96.29000000000002</v>
      </c>
      <c r="BM382" s="1093">
        <f t="shared" si="343"/>
        <v>96.29000000000002</v>
      </c>
      <c r="BN382" s="1093">
        <f t="shared" si="343"/>
        <v>96.29000000000002</v>
      </c>
      <c r="BO382" s="1093">
        <f t="shared" si="343"/>
        <v>96.29000000000002</v>
      </c>
      <c r="BP382" s="1093">
        <f t="shared" si="343"/>
        <v>96.29000000000002</v>
      </c>
      <c r="BQ382" s="1093">
        <f t="shared" si="343"/>
        <v>96.29000000000002</v>
      </c>
      <c r="BR382" s="1093">
        <f t="shared" si="343"/>
        <v>96.29000000000002</v>
      </c>
      <c r="BS382" s="1093">
        <f t="shared" ref="BS382:CI382" si="344">BS132</f>
        <v>96.29000000000002</v>
      </c>
      <c r="BT382" s="1093">
        <f t="shared" si="344"/>
        <v>96.29000000000002</v>
      </c>
      <c r="BU382" s="1093">
        <f t="shared" si="344"/>
        <v>96.29000000000002</v>
      </c>
      <c r="BV382" s="1093">
        <f t="shared" si="344"/>
        <v>96.29000000000002</v>
      </c>
      <c r="BW382" s="1093">
        <f t="shared" si="344"/>
        <v>96.29000000000002</v>
      </c>
      <c r="BX382" s="1093">
        <f t="shared" si="344"/>
        <v>96.29000000000002</v>
      </c>
      <c r="BY382" s="1093">
        <f t="shared" si="344"/>
        <v>96.29000000000002</v>
      </c>
      <c r="BZ382" s="1093">
        <f t="shared" si="344"/>
        <v>96.29000000000002</v>
      </c>
      <c r="CA382" s="1093">
        <f t="shared" si="344"/>
        <v>96.29000000000002</v>
      </c>
      <c r="CB382" s="1093">
        <f t="shared" si="344"/>
        <v>96.29000000000002</v>
      </c>
      <c r="CC382" s="1093">
        <f t="shared" si="344"/>
        <v>96.29000000000002</v>
      </c>
      <c r="CD382" s="1093">
        <f t="shared" si="344"/>
        <v>96.29000000000002</v>
      </c>
      <c r="CE382" s="1093">
        <f t="shared" si="344"/>
        <v>96.29000000000002</v>
      </c>
      <c r="CF382" s="1093">
        <f t="shared" si="344"/>
        <v>96.29000000000002</v>
      </c>
      <c r="CG382" s="1093">
        <f t="shared" si="344"/>
        <v>96.29000000000002</v>
      </c>
      <c r="CH382" s="1093">
        <f t="shared" si="344"/>
        <v>96.29000000000002</v>
      </c>
      <c r="CI382" s="1094">
        <f t="shared" si="344"/>
        <v>96.29000000000002</v>
      </c>
    </row>
    <row r="383" spans="2:87" x14ac:dyDescent="0.35">
      <c r="B383" s="1088"/>
      <c r="C383" s="1089" t="s">
        <v>644</v>
      </c>
      <c r="D383" s="1089"/>
      <c r="E383" s="1089" t="s">
        <v>305</v>
      </c>
      <c r="F383" s="1089">
        <v>2</v>
      </c>
      <c r="G383" s="1093">
        <f t="shared" ref="G383:AL383" si="345">SUM(G377:G381)+G178</f>
        <v>87.984627709999998</v>
      </c>
      <c r="H383" s="1093">
        <f t="shared" si="345"/>
        <v>85.58818740000001</v>
      </c>
      <c r="I383" s="1093">
        <f t="shared" si="345"/>
        <v>88.255622770241132</v>
      </c>
      <c r="J383" s="1093">
        <f t="shared" si="345"/>
        <v>88.557216185445483</v>
      </c>
      <c r="K383" s="1093">
        <f t="shared" si="345"/>
        <v>88.167506693293888</v>
      </c>
      <c r="L383" s="1093">
        <f t="shared" si="345"/>
        <v>89.806733301980373</v>
      </c>
      <c r="M383" s="1093">
        <f t="shared" si="345"/>
        <v>90.040530569870342</v>
      </c>
      <c r="N383" s="1093">
        <f t="shared" si="345"/>
        <v>90.079975317290206</v>
      </c>
      <c r="O383" s="1093">
        <f t="shared" si="345"/>
        <v>90.499141080260529</v>
      </c>
      <c r="P383" s="1093">
        <f t="shared" si="345"/>
        <v>90.425159202635911</v>
      </c>
      <c r="Q383" s="1093">
        <f t="shared" si="345"/>
        <v>89.056468092880507</v>
      </c>
      <c r="R383" s="1093">
        <f t="shared" si="345"/>
        <v>88.955699024160893</v>
      </c>
      <c r="S383" s="1093">
        <f t="shared" si="345"/>
        <v>88.865581969847042</v>
      </c>
      <c r="T383" s="1093">
        <f t="shared" si="345"/>
        <v>88.577386040170722</v>
      </c>
      <c r="U383" s="1093">
        <f t="shared" si="345"/>
        <v>88.537633436516359</v>
      </c>
      <c r="V383" s="1093">
        <f t="shared" si="345"/>
        <v>86.902517587931243</v>
      </c>
      <c r="W383" s="1093">
        <f t="shared" si="345"/>
        <v>86.871543165376536</v>
      </c>
      <c r="X383" s="1093">
        <f t="shared" si="345"/>
        <v>86.967706884499918</v>
      </c>
      <c r="Y383" s="1093">
        <f t="shared" si="345"/>
        <v>87.021663690882264</v>
      </c>
      <c r="Z383" s="1093">
        <f t="shared" si="345"/>
        <v>87.001205629496411</v>
      </c>
      <c r="AA383" s="1093">
        <f t="shared" si="345"/>
        <v>86.508198127898225</v>
      </c>
      <c r="AB383" s="1093">
        <f t="shared" si="345"/>
        <v>86.30669025404643</v>
      </c>
      <c r="AC383" s="1093">
        <f t="shared" si="345"/>
        <v>86.275074295824695</v>
      </c>
      <c r="AD383" s="1093">
        <f t="shared" si="345"/>
        <v>86.286932703192974</v>
      </c>
      <c r="AE383" s="1093">
        <f t="shared" si="345"/>
        <v>86.106270699130079</v>
      </c>
      <c r="AF383" s="1093">
        <f t="shared" si="345"/>
        <v>85.9709795606081</v>
      </c>
      <c r="AG383" s="1093">
        <f t="shared" si="345"/>
        <v>86.15403614050328</v>
      </c>
      <c r="AH383" s="1093">
        <f t="shared" si="345"/>
        <v>86.139796513817373</v>
      </c>
      <c r="AI383" s="1093">
        <f t="shared" si="345"/>
        <v>86.19911773875647</v>
      </c>
      <c r="AJ383" s="1093">
        <f t="shared" si="345"/>
        <v>86.281312471618818</v>
      </c>
      <c r="AK383" s="1093">
        <f t="shared" si="345"/>
        <v>86.242285974946554</v>
      </c>
      <c r="AL383" s="1093">
        <f t="shared" si="345"/>
        <v>86.299832864829867</v>
      </c>
      <c r="AM383" s="1093">
        <f t="shared" ref="AM383:BR383" si="346">SUM(AM377:AM381)+AM178</f>
        <v>86.26987190109827</v>
      </c>
      <c r="AN383" s="1093">
        <f t="shared" si="346"/>
        <v>86.362697084168531</v>
      </c>
      <c r="AO383" s="1093">
        <f t="shared" si="346"/>
        <v>86.390922372673543</v>
      </c>
      <c r="AP383" s="1093">
        <f t="shared" si="346"/>
        <v>86.391072340792377</v>
      </c>
      <c r="AQ383" s="1093">
        <f t="shared" si="346"/>
        <v>86.559331787964894</v>
      </c>
      <c r="AR383" s="1093">
        <f t="shared" si="346"/>
        <v>86.572679716147121</v>
      </c>
      <c r="AS383" s="1093">
        <f t="shared" si="346"/>
        <v>86.651715677358723</v>
      </c>
      <c r="AT383" s="1093">
        <f t="shared" si="346"/>
        <v>86.670224061132245</v>
      </c>
      <c r="AU383" s="1093">
        <f t="shared" si="346"/>
        <v>86.686856509213442</v>
      </c>
      <c r="AV383" s="1093">
        <f t="shared" si="346"/>
        <v>86.805503747564401</v>
      </c>
      <c r="AW383" s="1093">
        <f t="shared" si="346"/>
        <v>86.725406627018103</v>
      </c>
      <c r="AX383" s="1093">
        <f t="shared" si="346"/>
        <v>86.999488558453322</v>
      </c>
      <c r="AY383" s="1093">
        <f t="shared" si="346"/>
        <v>87.032197342906372</v>
      </c>
      <c r="AZ383" s="1093">
        <f t="shared" si="346"/>
        <v>87.097554165996357</v>
      </c>
      <c r="BA383" s="1093">
        <f t="shared" si="346"/>
        <v>87.162478661081948</v>
      </c>
      <c r="BB383" s="1093">
        <f t="shared" si="346"/>
        <v>87.185429506018977</v>
      </c>
      <c r="BC383" s="1093">
        <f t="shared" si="346"/>
        <v>87.246148957403349</v>
      </c>
      <c r="BD383" s="1093">
        <f t="shared" si="346"/>
        <v>87.222369258248676</v>
      </c>
      <c r="BE383" s="1093">
        <f t="shared" si="346"/>
        <v>87.463127317045348</v>
      </c>
      <c r="BF383" s="1093">
        <f t="shared" si="346"/>
        <v>87.468116006344005</v>
      </c>
      <c r="BG383" s="1093">
        <f t="shared" si="346"/>
        <v>87.451697016104944</v>
      </c>
      <c r="BH383" s="1093">
        <f t="shared" si="346"/>
        <v>87.443157085591494</v>
      </c>
      <c r="BI383" s="1093">
        <f t="shared" si="346"/>
        <v>87.495063328942237</v>
      </c>
      <c r="BJ383" s="1093">
        <f t="shared" si="346"/>
        <v>88.158955971010698</v>
      </c>
      <c r="BK383" s="1093">
        <f t="shared" si="346"/>
        <v>87.947654977662793</v>
      </c>
      <c r="BL383" s="1093">
        <f t="shared" si="346"/>
        <v>88.04270882421055</v>
      </c>
      <c r="BM383" s="1093">
        <f t="shared" si="346"/>
        <v>88.08736757534416</v>
      </c>
      <c r="BN383" s="1093">
        <f t="shared" si="346"/>
        <v>88.411487778721636</v>
      </c>
      <c r="BO383" s="1093">
        <f t="shared" si="346"/>
        <v>88.407169786144181</v>
      </c>
      <c r="BP383" s="1093">
        <f t="shared" si="346"/>
        <v>88.344745767911647</v>
      </c>
      <c r="BQ383" s="1093">
        <f t="shared" si="346"/>
        <v>88.582429257429425</v>
      </c>
      <c r="BR383" s="1093">
        <f t="shared" si="346"/>
        <v>88.779754548257699</v>
      </c>
      <c r="BS383" s="1093">
        <f t="shared" ref="BS383:CI383" si="347">SUM(BS377:BS381)+BS178</f>
        <v>89.060286351145137</v>
      </c>
      <c r="BT383" s="1093">
        <f t="shared" si="347"/>
        <v>88.99443150520392</v>
      </c>
      <c r="BU383" s="1093">
        <f t="shared" si="347"/>
        <v>89.173273192702126</v>
      </c>
      <c r="BV383" s="1093">
        <f t="shared" si="347"/>
        <v>89.105291644464387</v>
      </c>
      <c r="BW383" s="1093">
        <f t="shared" si="347"/>
        <v>89.392826617013895</v>
      </c>
      <c r="BX383" s="1093">
        <f t="shared" si="347"/>
        <v>89.588138795118098</v>
      </c>
      <c r="BY383" s="1093">
        <f t="shared" si="347"/>
        <v>89.837292468735441</v>
      </c>
      <c r="BZ383" s="1093">
        <f t="shared" si="347"/>
        <v>90.136388926485353</v>
      </c>
      <c r="CA383" s="1093">
        <f t="shared" si="347"/>
        <v>90.152986489912294</v>
      </c>
      <c r="CB383" s="1093">
        <f t="shared" si="347"/>
        <v>90.174881193579452</v>
      </c>
      <c r="CC383" s="1093">
        <f t="shared" si="347"/>
        <v>90.474544008376142</v>
      </c>
      <c r="CD383" s="1093">
        <f t="shared" si="347"/>
        <v>90.458764480897173</v>
      </c>
      <c r="CE383" s="1093">
        <f t="shared" si="347"/>
        <v>90.658569526445405</v>
      </c>
      <c r="CF383" s="1093">
        <f t="shared" si="347"/>
        <v>90.685033786274232</v>
      </c>
      <c r="CG383" s="1093">
        <f t="shared" si="347"/>
        <v>90.996027025026081</v>
      </c>
      <c r="CH383" s="1093">
        <f t="shared" si="347"/>
        <v>91.073196931496824</v>
      </c>
      <c r="CI383" s="1094">
        <f t="shared" si="347"/>
        <v>96.715268397314063</v>
      </c>
    </row>
    <row r="384" spans="2:87" x14ac:dyDescent="0.35">
      <c r="B384" s="1088"/>
      <c r="C384" s="1089"/>
      <c r="D384" s="1089"/>
      <c r="E384" s="1089"/>
      <c r="F384" s="1089"/>
      <c r="G384" s="1089"/>
      <c r="H384" s="1089"/>
      <c r="I384" s="1089"/>
      <c r="J384" s="1089"/>
      <c r="K384" s="1089"/>
      <c r="L384" s="1089"/>
      <c r="M384" s="1089"/>
      <c r="N384" s="1089"/>
      <c r="O384" s="1089"/>
      <c r="P384" s="1089"/>
      <c r="Q384" s="1089"/>
      <c r="R384" s="1089"/>
      <c r="S384" s="1089"/>
      <c r="T384" s="1089"/>
      <c r="U384" s="1089"/>
      <c r="V384" s="1089"/>
      <c r="W384" s="1089"/>
      <c r="X384" s="1089"/>
      <c r="Y384" s="1089"/>
      <c r="Z384" s="1089"/>
      <c r="AA384" s="1089"/>
      <c r="AB384" s="1089"/>
      <c r="AC384" s="1089"/>
      <c r="AD384" s="1089"/>
      <c r="AE384" s="1089"/>
      <c r="AF384" s="1089"/>
      <c r="AG384" s="1089"/>
      <c r="AH384" s="1089"/>
      <c r="AI384" s="1089"/>
      <c r="AJ384" s="1089"/>
      <c r="AK384" s="1089"/>
      <c r="AL384" s="1089"/>
      <c r="AM384" s="1089"/>
      <c r="AN384" s="1089"/>
      <c r="AO384" s="1089"/>
      <c r="AP384" s="1089"/>
      <c r="AQ384" s="1089"/>
      <c r="AR384" s="1089"/>
      <c r="AS384" s="1089"/>
      <c r="AT384" s="1089"/>
      <c r="AU384" s="1089"/>
      <c r="AV384" s="1089"/>
      <c r="AW384" s="1089"/>
      <c r="AX384" s="1089"/>
      <c r="AY384" s="1089"/>
      <c r="AZ384" s="1089"/>
      <c r="BA384" s="1089"/>
      <c r="BB384" s="1089"/>
      <c r="BC384" s="1089"/>
      <c r="BD384" s="1089"/>
      <c r="BE384" s="1089"/>
      <c r="BF384" s="1089"/>
      <c r="BG384" s="1089"/>
      <c r="BH384" s="1089"/>
      <c r="BI384" s="1089"/>
      <c r="BJ384" s="1089"/>
      <c r="BK384" s="1089"/>
      <c r="BL384" s="1089"/>
      <c r="BM384" s="1089"/>
      <c r="BN384" s="1089"/>
      <c r="BO384" s="1089"/>
      <c r="BP384" s="1089"/>
      <c r="BQ384" s="1089"/>
      <c r="BR384" s="1089"/>
      <c r="BS384" s="1089"/>
      <c r="BT384" s="1089"/>
      <c r="BU384" s="1089"/>
      <c r="BV384" s="1089"/>
      <c r="BW384" s="1089"/>
      <c r="BX384" s="1089"/>
      <c r="BY384" s="1089"/>
      <c r="BZ384" s="1089"/>
      <c r="CA384" s="1089"/>
      <c r="CB384" s="1089"/>
      <c r="CC384" s="1089"/>
      <c r="CD384" s="1089"/>
      <c r="CE384" s="1089"/>
      <c r="CF384" s="1089"/>
      <c r="CG384" s="1089"/>
      <c r="CH384" s="1089"/>
      <c r="CI384" s="1090"/>
    </row>
    <row r="385" spans="2:87" x14ac:dyDescent="0.35">
      <c r="B385" s="1088" t="s">
        <v>646</v>
      </c>
      <c r="C385" s="1089"/>
      <c r="D385" s="1089"/>
      <c r="E385" s="1089"/>
      <c r="F385" s="1089"/>
      <c r="G385" s="1091" t="s">
        <v>221</v>
      </c>
      <c r="H385" s="1091" t="s">
        <v>222</v>
      </c>
      <c r="I385" s="1091" t="s">
        <v>223</v>
      </c>
      <c r="J385" s="1091" t="s">
        <v>224</v>
      </c>
      <c r="K385" s="1091" t="s">
        <v>225</v>
      </c>
      <c r="L385" s="1091" t="s">
        <v>226</v>
      </c>
      <c r="M385" s="1091" t="s">
        <v>227</v>
      </c>
      <c r="N385" s="1091" t="s">
        <v>228</v>
      </c>
      <c r="O385" s="1091" t="s">
        <v>229</v>
      </c>
      <c r="P385" s="1091" t="s">
        <v>230</v>
      </c>
      <c r="Q385" s="1091" t="s">
        <v>231</v>
      </c>
      <c r="R385" s="1091" t="s">
        <v>232</v>
      </c>
      <c r="S385" s="1091" t="s">
        <v>233</v>
      </c>
      <c r="T385" s="1091" t="s">
        <v>234</v>
      </c>
      <c r="U385" s="1091" t="s">
        <v>235</v>
      </c>
      <c r="V385" s="1091" t="s">
        <v>236</v>
      </c>
      <c r="W385" s="1091" t="s">
        <v>237</v>
      </c>
      <c r="X385" s="1091" t="s">
        <v>238</v>
      </c>
      <c r="Y385" s="1091" t="s">
        <v>239</v>
      </c>
      <c r="Z385" s="1091" t="s">
        <v>240</v>
      </c>
      <c r="AA385" s="1091" t="s">
        <v>241</v>
      </c>
      <c r="AB385" s="1091" t="s">
        <v>242</v>
      </c>
      <c r="AC385" s="1091" t="s">
        <v>243</v>
      </c>
      <c r="AD385" s="1091" t="s">
        <v>244</v>
      </c>
      <c r="AE385" s="1091" t="s">
        <v>245</v>
      </c>
      <c r="AF385" s="1091" t="s">
        <v>246</v>
      </c>
      <c r="AG385" s="1091" t="s">
        <v>247</v>
      </c>
      <c r="AH385" s="1091" t="s">
        <v>248</v>
      </c>
      <c r="AI385" s="1091" t="s">
        <v>249</v>
      </c>
      <c r="AJ385" s="1091" t="s">
        <v>250</v>
      </c>
      <c r="AK385" s="1091" t="s">
        <v>251</v>
      </c>
      <c r="AL385" s="1091" t="s">
        <v>252</v>
      </c>
      <c r="AM385" s="1091" t="s">
        <v>253</v>
      </c>
      <c r="AN385" s="1091" t="s">
        <v>254</v>
      </c>
      <c r="AO385" s="1091" t="s">
        <v>255</v>
      </c>
      <c r="AP385" s="1091" t="s">
        <v>256</v>
      </c>
      <c r="AQ385" s="1091" t="s">
        <v>257</v>
      </c>
      <c r="AR385" s="1091" t="s">
        <v>258</v>
      </c>
      <c r="AS385" s="1091" t="s">
        <v>259</v>
      </c>
      <c r="AT385" s="1091" t="s">
        <v>260</v>
      </c>
      <c r="AU385" s="1091" t="s">
        <v>261</v>
      </c>
      <c r="AV385" s="1091" t="s">
        <v>262</v>
      </c>
      <c r="AW385" s="1091" t="s">
        <v>263</v>
      </c>
      <c r="AX385" s="1091" t="s">
        <v>264</v>
      </c>
      <c r="AY385" s="1091" t="s">
        <v>265</v>
      </c>
      <c r="AZ385" s="1091" t="s">
        <v>266</v>
      </c>
      <c r="BA385" s="1091" t="s">
        <v>267</v>
      </c>
      <c r="BB385" s="1091" t="s">
        <v>268</v>
      </c>
      <c r="BC385" s="1091" t="s">
        <v>269</v>
      </c>
      <c r="BD385" s="1091" t="s">
        <v>270</v>
      </c>
      <c r="BE385" s="1091" t="s">
        <v>271</v>
      </c>
      <c r="BF385" s="1091" t="s">
        <v>272</v>
      </c>
      <c r="BG385" s="1091" t="s">
        <v>273</v>
      </c>
      <c r="BH385" s="1091" t="s">
        <v>274</v>
      </c>
      <c r="BI385" s="1091" t="s">
        <v>275</v>
      </c>
      <c r="BJ385" s="1091" t="s">
        <v>276</v>
      </c>
      <c r="BK385" s="1091" t="s">
        <v>277</v>
      </c>
      <c r="BL385" s="1091" t="s">
        <v>278</v>
      </c>
      <c r="BM385" s="1091" t="s">
        <v>279</v>
      </c>
      <c r="BN385" s="1091" t="s">
        <v>280</v>
      </c>
      <c r="BO385" s="1091" t="s">
        <v>281</v>
      </c>
      <c r="BP385" s="1091" t="s">
        <v>282</v>
      </c>
      <c r="BQ385" s="1091" t="s">
        <v>283</v>
      </c>
      <c r="BR385" s="1091" t="s">
        <v>284</v>
      </c>
      <c r="BS385" s="1091" t="s">
        <v>285</v>
      </c>
      <c r="BT385" s="1091" t="s">
        <v>286</v>
      </c>
      <c r="BU385" s="1091" t="s">
        <v>287</v>
      </c>
      <c r="BV385" s="1091" t="s">
        <v>288</v>
      </c>
      <c r="BW385" s="1091" t="s">
        <v>289</v>
      </c>
      <c r="BX385" s="1091" t="s">
        <v>290</v>
      </c>
      <c r="BY385" s="1091" t="s">
        <v>291</v>
      </c>
      <c r="BZ385" s="1091" t="s">
        <v>292</v>
      </c>
      <c r="CA385" s="1091" t="s">
        <v>293</v>
      </c>
      <c r="CB385" s="1091" t="s">
        <v>294</v>
      </c>
      <c r="CC385" s="1091" t="s">
        <v>295</v>
      </c>
      <c r="CD385" s="1091" t="s">
        <v>296</v>
      </c>
      <c r="CE385" s="1091" t="s">
        <v>297</v>
      </c>
      <c r="CF385" s="1091" t="s">
        <v>298</v>
      </c>
      <c r="CG385" s="1091" t="s">
        <v>299</v>
      </c>
      <c r="CH385" s="1091" t="s">
        <v>300</v>
      </c>
      <c r="CI385" s="1092" t="s">
        <v>301</v>
      </c>
    </row>
    <row r="386" spans="2:87" x14ac:dyDescent="0.35">
      <c r="B386" s="1088"/>
      <c r="C386" s="1089" t="s">
        <v>639</v>
      </c>
      <c r="D386" s="1089"/>
      <c r="E386" s="1089" t="s">
        <v>305</v>
      </c>
      <c r="F386" s="1089">
        <v>2</v>
      </c>
      <c r="G386" s="1093">
        <f t="shared" ref="G386:AL386" si="348">G227-G238</f>
        <v>33.08</v>
      </c>
      <c r="H386" s="1093">
        <f t="shared" si="348"/>
        <v>34.1</v>
      </c>
      <c r="I386" s="1093">
        <f t="shared" si="348"/>
        <v>40.615135340000002</v>
      </c>
      <c r="J386" s="1093">
        <f t="shared" si="348"/>
        <v>40.854823109999998</v>
      </c>
      <c r="K386" s="1093">
        <f t="shared" si="348"/>
        <v>40.763159250000001</v>
      </c>
      <c r="L386" s="1093">
        <f t="shared" si="348"/>
        <v>40.581026379999997</v>
      </c>
      <c r="M386" s="1093">
        <f t="shared" si="348"/>
        <v>42.042926999999999</v>
      </c>
      <c r="N386" s="1093">
        <f t="shared" si="348"/>
        <v>43.182370910000003</v>
      </c>
      <c r="O386" s="1093">
        <f t="shared" si="348"/>
        <v>44.488354229999999</v>
      </c>
      <c r="P386" s="1093">
        <f t="shared" si="348"/>
        <v>45.763615430000002</v>
      </c>
      <c r="Q386" s="1093">
        <f t="shared" si="348"/>
        <v>46.928119970000004</v>
      </c>
      <c r="R386" s="1093">
        <f t="shared" si="348"/>
        <v>47.93768816</v>
      </c>
      <c r="S386" s="1093">
        <f t="shared" si="348"/>
        <v>48.793771120000002</v>
      </c>
      <c r="T386" s="1093">
        <f t="shared" si="348"/>
        <v>49.519408920000004</v>
      </c>
      <c r="U386" s="1093">
        <f t="shared" si="348"/>
        <v>50.246634140000005</v>
      </c>
      <c r="V386" s="1093">
        <f t="shared" si="348"/>
        <v>50.979845920000002</v>
      </c>
      <c r="W386" s="1093">
        <f t="shared" si="348"/>
        <v>51.659707250000004</v>
      </c>
      <c r="X386" s="1093">
        <f t="shared" si="348"/>
        <v>52.291282119999998</v>
      </c>
      <c r="Y386" s="1093">
        <f t="shared" si="348"/>
        <v>52.880411290000005</v>
      </c>
      <c r="Z386" s="1093">
        <f t="shared" si="348"/>
        <v>53.477312810000001</v>
      </c>
      <c r="AA386" s="1093">
        <f t="shared" si="348"/>
        <v>54.04239295</v>
      </c>
      <c r="AB386" s="1093">
        <f t="shared" si="348"/>
        <v>54.604498150000005</v>
      </c>
      <c r="AC386" s="1093">
        <f t="shared" si="348"/>
        <v>55.146788690000001</v>
      </c>
      <c r="AD386" s="1093">
        <f t="shared" si="348"/>
        <v>55.668559540000004</v>
      </c>
      <c r="AE386" s="1093">
        <f t="shared" si="348"/>
        <v>56.174405950000001</v>
      </c>
      <c r="AF386" s="1093">
        <f t="shared" si="348"/>
        <v>56.655361790000001</v>
      </c>
      <c r="AG386" s="1093">
        <f t="shared" si="348"/>
        <v>57.10643469</v>
      </c>
      <c r="AH386" s="1093">
        <f t="shared" si="348"/>
        <v>57.532511769999999</v>
      </c>
      <c r="AI386" s="1093">
        <f t="shared" si="348"/>
        <v>57.942143059999999</v>
      </c>
      <c r="AJ386" s="1093">
        <f t="shared" si="348"/>
        <v>58.331180160000002</v>
      </c>
      <c r="AK386" s="1093">
        <f t="shared" si="348"/>
        <v>58.694794340000001</v>
      </c>
      <c r="AL386" s="1093">
        <f t="shared" si="348"/>
        <v>58.957730179999999</v>
      </c>
      <c r="AM386" s="1093">
        <f t="shared" ref="AM386:BR386" si="349">AM227-AM238</f>
        <v>59.211003990000002</v>
      </c>
      <c r="AN386" s="1093">
        <f t="shared" si="349"/>
        <v>59.458546009999999</v>
      </c>
      <c r="AO386" s="1093">
        <f t="shared" si="349"/>
        <v>59.697949200000004</v>
      </c>
      <c r="AP386" s="1093">
        <f t="shared" si="349"/>
        <v>59.934424560000004</v>
      </c>
      <c r="AQ386" s="1093">
        <f t="shared" si="349"/>
        <v>60.16695472</v>
      </c>
      <c r="AR386" s="1093">
        <f t="shared" si="349"/>
        <v>60.394549830000003</v>
      </c>
      <c r="AS386" s="1093">
        <f t="shared" si="349"/>
        <v>60.609995170000005</v>
      </c>
      <c r="AT386" s="1093">
        <f t="shared" si="349"/>
        <v>60.815232690000002</v>
      </c>
      <c r="AU386" s="1093">
        <f t="shared" si="349"/>
        <v>61.016496359999998</v>
      </c>
      <c r="AV386" s="1093">
        <f t="shared" si="349"/>
        <v>61.210688449999999</v>
      </c>
      <c r="AW386" s="1093">
        <f t="shared" si="349"/>
        <v>61.399268820000003</v>
      </c>
      <c r="AX386" s="1093">
        <f t="shared" si="349"/>
        <v>61.584430569999995</v>
      </c>
      <c r="AY386" s="1093">
        <f t="shared" si="349"/>
        <v>61.766053349999993</v>
      </c>
      <c r="AZ386" s="1093">
        <f t="shared" si="349"/>
        <v>61.946356620000003</v>
      </c>
      <c r="BA386" s="1093">
        <f t="shared" si="349"/>
        <v>62.12573648</v>
      </c>
      <c r="BB386" s="1093">
        <f t="shared" si="349"/>
        <v>62.30365098</v>
      </c>
      <c r="BC386" s="1093">
        <f t="shared" si="349"/>
        <v>62.478105759999991</v>
      </c>
      <c r="BD386" s="1093">
        <f t="shared" si="349"/>
        <v>62.652216909999993</v>
      </c>
      <c r="BE386" s="1093">
        <f t="shared" si="349"/>
        <v>62.825152029999998</v>
      </c>
      <c r="BF386" s="1093">
        <f t="shared" si="349"/>
        <v>62.997472000000002</v>
      </c>
      <c r="BG386" s="1093">
        <f t="shared" si="349"/>
        <v>63.171626259999996</v>
      </c>
      <c r="BH386" s="1093">
        <f t="shared" si="349"/>
        <v>63.34716263</v>
      </c>
      <c r="BI386" s="1093">
        <f t="shared" si="349"/>
        <v>63.524370279999999</v>
      </c>
      <c r="BJ386" s="1093">
        <f t="shared" si="349"/>
        <v>63.701530680000005</v>
      </c>
      <c r="BK386" s="1093">
        <f t="shared" si="349"/>
        <v>63.879501050000002</v>
      </c>
      <c r="BL386" s="1093">
        <f t="shared" si="349"/>
        <v>64.057926519999995</v>
      </c>
      <c r="BM386" s="1093">
        <f t="shared" si="349"/>
        <v>64.238092899999998</v>
      </c>
      <c r="BN386" s="1093">
        <f t="shared" si="349"/>
        <v>64.42174537999999</v>
      </c>
      <c r="BO386" s="1093">
        <f t="shared" si="349"/>
        <v>64.608062189999998</v>
      </c>
      <c r="BP386" s="1093">
        <f t="shared" si="349"/>
        <v>64.79886153999999</v>
      </c>
      <c r="BQ386" s="1093">
        <f t="shared" si="349"/>
        <v>64.993034389999991</v>
      </c>
      <c r="BR386" s="1093">
        <f t="shared" si="349"/>
        <v>65.190597749999995</v>
      </c>
      <c r="BS386" s="1093">
        <f t="shared" ref="BS386:CI386" si="350">BS227-BS238</f>
        <v>65.388565439999994</v>
      </c>
      <c r="BT386" s="1093">
        <f t="shared" si="350"/>
        <v>65.587994159999994</v>
      </c>
      <c r="BU386" s="1093">
        <f t="shared" si="350"/>
        <v>65.788528239999991</v>
      </c>
      <c r="BV386" s="1093">
        <f t="shared" si="350"/>
        <v>65.991003899999995</v>
      </c>
      <c r="BW386" s="1093">
        <f t="shared" si="350"/>
        <v>66.192306289999991</v>
      </c>
      <c r="BX386" s="1093">
        <f t="shared" si="350"/>
        <v>66.393879189999993</v>
      </c>
      <c r="BY386" s="1093">
        <f t="shared" si="350"/>
        <v>66.595581379999999</v>
      </c>
      <c r="BZ386" s="1093">
        <f t="shared" si="350"/>
        <v>66.798087789999997</v>
      </c>
      <c r="CA386" s="1093">
        <f t="shared" si="350"/>
        <v>66.999743269999996</v>
      </c>
      <c r="CB386" s="1093">
        <f t="shared" si="350"/>
        <v>67.200814349999987</v>
      </c>
      <c r="CC386" s="1093">
        <f t="shared" si="350"/>
        <v>67.398959619999999</v>
      </c>
      <c r="CD386" s="1093">
        <f t="shared" si="350"/>
        <v>67.596085099999996</v>
      </c>
      <c r="CE386" s="1093">
        <f t="shared" si="350"/>
        <v>67.790484639999988</v>
      </c>
      <c r="CF386" s="1093">
        <f t="shared" si="350"/>
        <v>67.982110829999996</v>
      </c>
      <c r="CG386" s="1093">
        <f t="shared" si="350"/>
        <v>68.169822490000001</v>
      </c>
      <c r="CH386" s="1093">
        <f t="shared" si="350"/>
        <v>68.354314129999992</v>
      </c>
      <c r="CI386" s="1094">
        <f t="shared" si="350"/>
        <v>68.534787600000001</v>
      </c>
    </row>
    <row r="387" spans="2:87" x14ac:dyDescent="0.35">
      <c r="B387" s="1088"/>
      <c r="C387" s="1089" t="s">
        <v>640</v>
      </c>
      <c r="D387" s="1089"/>
      <c r="E387" s="1089" t="s">
        <v>305</v>
      </c>
      <c r="F387" s="1089">
        <v>2</v>
      </c>
      <c r="G387" s="1093">
        <f t="shared" ref="G387:AL387" si="351">G228-G239</f>
        <v>21.35</v>
      </c>
      <c r="H387" s="1093">
        <f t="shared" si="351"/>
        <v>20.94</v>
      </c>
      <c r="I387" s="1093">
        <f t="shared" si="351"/>
        <v>21.031296999999999</v>
      </c>
      <c r="J387" s="1093">
        <f t="shared" si="351"/>
        <v>19.817300630000002</v>
      </c>
      <c r="K387" s="1093">
        <f t="shared" si="351"/>
        <v>18.61731112</v>
      </c>
      <c r="L387" s="1093">
        <f t="shared" si="351"/>
        <v>17.471758010000002</v>
      </c>
      <c r="M387" s="1093">
        <f t="shared" si="351"/>
        <v>17.033873190000001</v>
      </c>
      <c r="N387" s="1093">
        <f t="shared" si="351"/>
        <v>16.624464410000002</v>
      </c>
      <c r="O387" s="1093">
        <f t="shared" si="351"/>
        <v>16.22374331</v>
      </c>
      <c r="P387" s="1093">
        <f t="shared" si="351"/>
        <v>15.829324620000001</v>
      </c>
      <c r="Q387" s="1093">
        <f t="shared" si="351"/>
        <v>15.43724126</v>
      </c>
      <c r="R387" s="1093">
        <f t="shared" si="351"/>
        <v>15.071756600000001</v>
      </c>
      <c r="S387" s="1093">
        <f t="shared" si="351"/>
        <v>14.704851960000001</v>
      </c>
      <c r="T387" s="1093">
        <f t="shared" si="351"/>
        <v>14.34053905</v>
      </c>
      <c r="U387" s="1093">
        <f t="shared" si="351"/>
        <v>13.983740360000001</v>
      </c>
      <c r="V387" s="1093">
        <f t="shared" si="351"/>
        <v>13.635355390000001</v>
      </c>
      <c r="W387" s="1093">
        <f t="shared" si="351"/>
        <v>13.29551502</v>
      </c>
      <c r="X387" s="1093">
        <f t="shared" si="351"/>
        <v>12.959349660000001</v>
      </c>
      <c r="Y387" s="1093">
        <f t="shared" si="351"/>
        <v>12.63312372</v>
      </c>
      <c r="Z387" s="1093">
        <f t="shared" si="351"/>
        <v>12.31882616</v>
      </c>
      <c r="AA387" s="1093">
        <f t="shared" si="351"/>
        <v>12.00963829</v>
      </c>
      <c r="AB387" s="1093">
        <f t="shared" si="351"/>
        <v>11.708891530000001</v>
      </c>
      <c r="AC387" s="1093">
        <f t="shared" si="351"/>
        <v>11.41732852</v>
      </c>
      <c r="AD387" s="1093">
        <f t="shared" si="351"/>
        <v>11.13436066</v>
      </c>
      <c r="AE387" s="1093">
        <f t="shared" si="351"/>
        <v>10.860056140000001</v>
      </c>
      <c r="AF387" s="1093">
        <f t="shared" si="351"/>
        <v>10.59304011</v>
      </c>
      <c r="AG387" s="1093">
        <f t="shared" si="351"/>
        <v>10.33225378</v>
      </c>
      <c r="AH387" s="1093">
        <f t="shared" si="351"/>
        <v>10.07829632</v>
      </c>
      <c r="AI387" s="1093">
        <f t="shared" si="351"/>
        <v>9.8316994510000004</v>
      </c>
      <c r="AJ387" s="1093">
        <f t="shared" si="351"/>
        <v>9.5918076700000015</v>
      </c>
      <c r="AK387" s="1093">
        <f t="shared" si="351"/>
        <v>9.3578809420000013</v>
      </c>
      <c r="AL387" s="1093">
        <f t="shared" si="351"/>
        <v>9.1438252680000005</v>
      </c>
      <c r="AM387" s="1093">
        <f t="shared" ref="AM387:BR387" si="352">AM228-AM239</f>
        <v>8.9354566430000002</v>
      </c>
      <c r="AN387" s="1093">
        <f t="shared" si="352"/>
        <v>8.732196836</v>
      </c>
      <c r="AO387" s="1093">
        <f t="shared" si="352"/>
        <v>8.533877587000001</v>
      </c>
      <c r="AP387" s="1093">
        <f t="shared" si="352"/>
        <v>8.3401429819999997</v>
      </c>
      <c r="AQ387" s="1093">
        <f t="shared" si="352"/>
        <v>8.1505442070000012</v>
      </c>
      <c r="AR387" s="1093">
        <f t="shared" si="352"/>
        <v>7.9658012549999997</v>
      </c>
      <c r="AS387" s="1093">
        <f t="shared" si="352"/>
        <v>7.786221898</v>
      </c>
      <c r="AT387" s="1093">
        <f t="shared" si="352"/>
        <v>7.611304348</v>
      </c>
      <c r="AU387" s="1093">
        <f t="shared" si="352"/>
        <v>7.4405171500000007</v>
      </c>
      <c r="AV387" s="1093">
        <f t="shared" si="352"/>
        <v>7.2738691980000008</v>
      </c>
      <c r="AW387" s="1093">
        <f t="shared" si="352"/>
        <v>7.1114167490000009</v>
      </c>
      <c r="AX387" s="1093">
        <f t="shared" si="352"/>
        <v>6.9528941810000005</v>
      </c>
      <c r="AY387" s="1093">
        <f t="shared" si="352"/>
        <v>6.7979921399999998</v>
      </c>
      <c r="AZ387" s="1093">
        <f t="shared" si="352"/>
        <v>6.6466643510000001</v>
      </c>
      <c r="BA387" s="1093">
        <f t="shared" si="352"/>
        <v>6.4988803439999998</v>
      </c>
      <c r="BB387" s="1093">
        <f t="shared" si="352"/>
        <v>6.3548896719999997</v>
      </c>
      <c r="BC387" s="1093">
        <f t="shared" si="352"/>
        <v>6.214611799</v>
      </c>
      <c r="BD387" s="1093">
        <f t="shared" si="352"/>
        <v>6.0777866709999993</v>
      </c>
      <c r="BE387" s="1093">
        <f t="shared" si="352"/>
        <v>5.9443145049999995</v>
      </c>
      <c r="BF387" s="1093">
        <f t="shared" si="352"/>
        <v>5.8140996299999994</v>
      </c>
      <c r="BG387" s="1093">
        <f t="shared" si="352"/>
        <v>5.687139674</v>
      </c>
      <c r="BH387" s="1093">
        <f t="shared" si="352"/>
        <v>5.5632811420000001</v>
      </c>
      <c r="BI387" s="1093">
        <f t="shared" si="352"/>
        <v>5.4425546649999994</v>
      </c>
      <c r="BJ387" s="1093">
        <f t="shared" si="352"/>
        <v>5.3249477459999994</v>
      </c>
      <c r="BK387" s="1093">
        <f t="shared" si="352"/>
        <v>5.2102156929999994</v>
      </c>
      <c r="BL387" s="1093">
        <f t="shared" si="352"/>
        <v>5.0984940339999998</v>
      </c>
      <c r="BM387" s="1093">
        <f t="shared" si="352"/>
        <v>4.9896196029999995</v>
      </c>
      <c r="BN387" s="1093">
        <f t="shared" si="352"/>
        <v>4.8833452779999993</v>
      </c>
      <c r="BO387" s="1093">
        <f t="shared" si="352"/>
        <v>4.7796646259999997</v>
      </c>
      <c r="BP387" s="1093">
        <f t="shared" si="352"/>
        <v>4.6783077729999993</v>
      </c>
      <c r="BQ387" s="1093">
        <f t="shared" si="352"/>
        <v>4.5793137079999999</v>
      </c>
      <c r="BR387" s="1093">
        <f t="shared" si="352"/>
        <v>4.4826419489999996</v>
      </c>
      <c r="BS387" s="1093">
        <f t="shared" ref="BS387:CI387" si="353">BS228-BS239</f>
        <v>4.3883436959999997</v>
      </c>
      <c r="BT387" s="1093">
        <f t="shared" si="353"/>
        <v>4.2962996899999997</v>
      </c>
      <c r="BU387" s="1093">
        <f t="shared" si="353"/>
        <v>4.206397097</v>
      </c>
      <c r="BV387" s="1093">
        <f t="shared" si="353"/>
        <v>4.1186041969999998</v>
      </c>
      <c r="BW387" s="1093">
        <f t="shared" si="353"/>
        <v>4.0329216519999997</v>
      </c>
      <c r="BX387" s="1093">
        <f t="shared" si="353"/>
        <v>3.9492338489999996</v>
      </c>
      <c r="BY387" s="1093">
        <f t="shared" si="353"/>
        <v>3.8674630099999998</v>
      </c>
      <c r="BZ387" s="1093">
        <f t="shared" si="353"/>
        <v>3.7874796279999998</v>
      </c>
      <c r="CA387" s="1093">
        <f t="shared" si="353"/>
        <v>3.7093793039999996</v>
      </c>
      <c r="CB387" s="1093">
        <f t="shared" si="353"/>
        <v>3.6331246659999996</v>
      </c>
      <c r="CC387" s="1093">
        <f t="shared" si="353"/>
        <v>3.5587949160000001</v>
      </c>
      <c r="CD387" s="1093">
        <f t="shared" si="353"/>
        <v>3.4861999350000001</v>
      </c>
      <c r="CE387" s="1093">
        <f t="shared" si="353"/>
        <v>3.4153084099999997</v>
      </c>
      <c r="CF387" s="1093">
        <f t="shared" si="353"/>
        <v>3.3461182439999995</v>
      </c>
      <c r="CG387" s="1093">
        <f t="shared" si="353"/>
        <v>3.2787028209999995</v>
      </c>
      <c r="CH387" s="1093">
        <f t="shared" si="353"/>
        <v>3.2129811019999996</v>
      </c>
      <c r="CI387" s="1094">
        <f t="shared" si="353"/>
        <v>3.1488732930000003</v>
      </c>
    </row>
    <row r="388" spans="2:87" x14ac:dyDescent="0.35">
      <c r="B388" s="1088"/>
      <c r="C388" s="1089" t="s">
        <v>641</v>
      </c>
      <c r="D388" s="1089"/>
      <c r="E388" s="1089" t="s">
        <v>305</v>
      </c>
      <c r="F388" s="1089">
        <v>2</v>
      </c>
      <c r="G388" s="1093">
        <f t="shared" ref="G388:AL388" si="354">G224+G226-G236-G237</f>
        <v>22.470000000000002</v>
      </c>
      <c r="H388" s="1093">
        <f t="shared" si="354"/>
        <v>23.903559690000005</v>
      </c>
      <c r="I388" s="1093">
        <f t="shared" si="354"/>
        <v>24.547230610000003</v>
      </c>
      <c r="J388" s="1093">
        <f t="shared" si="354"/>
        <v>25.587165660000004</v>
      </c>
      <c r="K388" s="1093">
        <f t="shared" si="354"/>
        <v>26.848108380000003</v>
      </c>
      <c r="L388" s="1093">
        <f t="shared" si="354"/>
        <v>27.821185670000002</v>
      </c>
      <c r="M388" s="1093">
        <f t="shared" si="354"/>
        <v>28.469952140000004</v>
      </c>
      <c r="N388" s="1093">
        <f t="shared" si="354"/>
        <v>29.137201370000003</v>
      </c>
      <c r="O388" s="1093">
        <f t="shared" si="354"/>
        <v>29.800065120000003</v>
      </c>
      <c r="P388" s="1093">
        <f t="shared" si="354"/>
        <v>30.408994180000004</v>
      </c>
      <c r="Q388" s="1093">
        <f t="shared" si="354"/>
        <v>30.972555440000004</v>
      </c>
      <c r="R388" s="1093">
        <f t="shared" si="354"/>
        <v>31.539617170000003</v>
      </c>
      <c r="S388" s="1093">
        <f t="shared" si="354"/>
        <v>32.055802209999996</v>
      </c>
      <c r="T388" s="1093">
        <f t="shared" si="354"/>
        <v>32.53902935</v>
      </c>
      <c r="U388" s="1093">
        <f t="shared" si="354"/>
        <v>33.069928449999999</v>
      </c>
      <c r="V388" s="1093">
        <f t="shared" si="354"/>
        <v>33.533209849999999</v>
      </c>
      <c r="W388" s="1093">
        <f t="shared" si="354"/>
        <v>34.017829459999994</v>
      </c>
      <c r="X388" s="1093">
        <f t="shared" si="354"/>
        <v>34.510517379999996</v>
      </c>
      <c r="Y388" s="1093">
        <f t="shared" si="354"/>
        <v>34.979892589999999</v>
      </c>
      <c r="Z388" s="1093">
        <f t="shared" si="354"/>
        <v>35.41255245</v>
      </c>
      <c r="AA388" s="1093">
        <f t="shared" si="354"/>
        <v>35.489511983999996</v>
      </c>
      <c r="AB388" s="1093">
        <f t="shared" si="354"/>
        <v>35.566471518999997</v>
      </c>
      <c r="AC388" s="1093">
        <f t="shared" si="354"/>
        <v>35.643431053</v>
      </c>
      <c r="AD388" s="1093">
        <f t="shared" si="354"/>
        <v>35.720390587999994</v>
      </c>
      <c r="AE388" s="1093">
        <f t="shared" si="354"/>
        <v>35.797350121999997</v>
      </c>
      <c r="AF388" s="1093">
        <f t="shared" si="354"/>
        <v>35.874309656999998</v>
      </c>
      <c r="AG388" s="1093">
        <f t="shared" si="354"/>
        <v>35.951269190999994</v>
      </c>
      <c r="AH388" s="1093">
        <f t="shared" si="354"/>
        <v>36.028228725999995</v>
      </c>
      <c r="AI388" s="1093">
        <f t="shared" si="354"/>
        <v>36.105188259999998</v>
      </c>
      <c r="AJ388" s="1093">
        <f t="shared" si="354"/>
        <v>36.182147794999992</v>
      </c>
      <c r="AK388" s="1093">
        <f t="shared" si="354"/>
        <v>36.259107328999995</v>
      </c>
      <c r="AL388" s="1093">
        <f t="shared" si="354"/>
        <v>36.336066864000003</v>
      </c>
      <c r="AM388" s="1093">
        <f t="shared" ref="AM388:BR388" si="355">AM224+AM226-AM236-AM237</f>
        <v>36.413026398</v>
      </c>
      <c r="AN388" s="1093">
        <f t="shared" si="355"/>
        <v>36.489985933</v>
      </c>
      <c r="AO388" s="1093">
        <f t="shared" si="355"/>
        <v>36.566945466999996</v>
      </c>
      <c r="AP388" s="1093">
        <f t="shared" si="355"/>
        <v>36.643905001</v>
      </c>
      <c r="AQ388" s="1093">
        <f t="shared" si="355"/>
        <v>36.720864535999993</v>
      </c>
      <c r="AR388" s="1093">
        <f t="shared" si="355"/>
        <v>36.797824069999997</v>
      </c>
      <c r="AS388" s="1093">
        <f t="shared" si="355"/>
        <v>36.874783604999998</v>
      </c>
      <c r="AT388" s="1093">
        <f t="shared" si="355"/>
        <v>36.951743138999994</v>
      </c>
      <c r="AU388" s="1093">
        <f t="shared" si="355"/>
        <v>37.028702683999995</v>
      </c>
      <c r="AV388" s="1093">
        <f t="shared" si="355"/>
        <v>37.105662217999999</v>
      </c>
      <c r="AW388" s="1093">
        <f t="shared" si="355"/>
        <v>37.182621752999992</v>
      </c>
      <c r="AX388" s="1093">
        <f t="shared" si="355"/>
        <v>37.259581286999996</v>
      </c>
      <c r="AY388" s="1093">
        <f t="shared" si="355"/>
        <v>37.336540821999996</v>
      </c>
      <c r="AZ388" s="1093">
        <f t="shared" si="355"/>
        <v>37.413500355999993</v>
      </c>
      <c r="BA388" s="1093">
        <f t="shared" si="355"/>
        <v>37.490459891</v>
      </c>
      <c r="BB388" s="1093">
        <f t="shared" si="355"/>
        <v>37.567419424999997</v>
      </c>
      <c r="BC388" s="1093">
        <f t="shared" si="355"/>
        <v>37.644378959000001</v>
      </c>
      <c r="BD388" s="1093">
        <f t="shared" si="355"/>
        <v>37.721338493999994</v>
      </c>
      <c r="BE388" s="1093">
        <f t="shared" si="355"/>
        <v>37.798298027999998</v>
      </c>
      <c r="BF388" s="1093">
        <f t="shared" si="355"/>
        <v>37.875257562999998</v>
      </c>
      <c r="BG388" s="1093">
        <f t="shared" si="355"/>
        <v>37.952217096999995</v>
      </c>
      <c r="BH388" s="1093">
        <f t="shared" si="355"/>
        <v>38.029176631999995</v>
      </c>
      <c r="BI388" s="1093">
        <f t="shared" si="355"/>
        <v>38.106136165999999</v>
      </c>
      <c r="BJ388" s="1093">
        <f t="shared" si="355"/>
        <v>38.183095700999992</v>
      </c>
      <c r="BK388" s="1093">
        <f t="shared" si="355"/>
        <v>38.260055234999996</v>
      </c>
      <c r="BL388" s="1093">
        <f t="shared" si="355"/>
        <v>38.337014769999996</v>
      </c>
      <c r="BM388" s="1093">
        <f t="shared" si="355"/>
        <v>38.413974304</v>
      </c>
      <c r="BN388" s="1093">
        <f t="shared" si="355"/>
        <v>38.490933838999993</v>
      </c>
      <c r="BO388" s="1093">
        <f t="shared" si="355"/>
        <v>38.567893372999997</v>
      </c>
      <c r="BP388" s="1093">
        <f t="shared" si="355"/>
        <v>38.644852908000004</v>
      </c>
      <c r="BQ388" s="1093">
        <f t="shared" si="355"/>
        <v>38.721812441999994</v>
      </c>
      <c r="BR388" s="1093">
        <f t="shared" si="355"/>
        <v>38.798771975999998</v>
      </c>
      <c r="BS388" s="1093">
        <f t="shared" ref="BS388:CI388" si="356">BS224+BS226-BS236-BS237</f>
        <v>38.875731510999998</v>
      </c>
      <c r="BT388" s="1093">
        <f t="shared" si="356"/>
        <v>38.952691044999995</v>
      </c>
      <c r="BU388" s="1093">
        <f t="shared" si="356"/>
        <v>39.029650579999995</v>
      </c>
      <c r="BV388" s="1093">
        <f t="shared" si="356"/>
        <v>39.106610113999999</v>
      </c>
      <c r="BW388" s="1093">
        <f t="shared" si="356"/>
        <v>39.183569648999999</v>
      </c>
      <c r="BX388" s="1093">
        <f t="shared" si="356"/>
        <v>39.260529182999996</v>
      </c>
      <c r="BY388" s="1093">
        <f t="shared" si="356"/>
        <v>39.337488717999996</v>
      </c>
      <c r="BZ388" s="1093">
        <f t="shared" si="356"/>
        <v>39.414448252</v>
      </c>
      <c r="CA388" s="1093">
        <f t="shared" si="356"/>
        <v>39.491407786999993</v>
      </c>
      <c r="CB388" s="1093">
        <f t="shared" si="356"/>
        <v>39.568367320999997</v>
      </c>
      <c r="CC388" s="1093">
        <f t="shared" si="356"/>
        <v>39.645326855999997</v>
      </c>
      <c r="CD388" s="1093">
        <f t="shared" si="356"/>
        <v>39.722286389999994</v>
      </c>
      <c r="CE388" s="1093">
        <f t="shared" si="356"/>
        <v>39.799245925000001</v>
      </c>
      <c r="CF388" s="1093">
        <f t="shared" si="356"/>
        <v>39.876205458999998</v>
      </c>
      <c r="CG388" s="1093">
        <f t="shared" si="356"/>
        <v>39.953164992999994</v>
      </c>
      <c r="CH388" s="1093">
        <f t="shared" si="356"/>
        <v>39.953164992999994</v>
      </c>
      <c r="CI388" s="1094">
        <f t="shared" si="356"/>
        <v>39.953164992999994</v>
      </c>
    </row>
    <row r="389" spans="2:87" x14ac:dyDescent="0.35">
      <c r="B389" s="1088"/>
      <c r="C389" s="1089" t="s">
        <v>390</v>
      </c>
      <c r="D389" s="1089"/>
      <c r="E389" s="1089" t="s">
        <v>305</v>
      </c>
      <c r="F389" s="1089">
        <v>2</v>
      </c>
      <c r="G389" s="1093">
        <f t="shared" ref="G389:AL389" si="357">G242</f>
        <v>13.5</v>
      </c>
      <c r="H389" s="1093">
        <f t="shared" si="357"/>
        <v>13.5</v>
      </c>
      <c r="I389" s="1093">
        <f t="shared" si="357"/>
        <v>13.510000000000002</v>
      </c>
      <c r="J389" s="1093">
        <f t="shared" si="357"/>
        <v>13.510000000000002</v>
      </c>
      <c r="K389" s="1093">
        <f t="shared" si="357"/>
        <v>13.510000000000002</v>
      </c>
      <c r="L389" s="1093">
        <f t="shared" si="357"/>
        <v>13.2</v>
      </c>
      <c r="M389" s="1093">
        <f t="shared" si="357"/>
        <v>13.2</v>
      </c>
      <c r="N389" s="1093">
        <f t="shared" si="357"/>
        <v>13.2</v>
      </c>
      <c r="O389" s="1093">
        <f t="shared" si="357"/>
        <v>13.2</v>
      </c>
      <c r="P389" s="1093">
        <f t="shared" si="357"/>
        <v>13.2</v>
      </c>
      <c r="Q389" s="1093">
        <f t="shared" si="357"/>
        <v>13.2</v>
      </c>
      <c r="R389" s="1093">
        <f t="shared" si="357"/>
        <v>13.2</v>
      </c>
      <c r="S389" s="1093">
        <f t="shared" si="357"/>
        <v>13.2</v>
      </c>
      <c r="T389" s="1093">
        <f t="shared" si="357"/>
        <v>13.2</v>
      </c>
      <c r="U389" s="1093">
        <f t="shared" si="357"/>
        <v>13.2</v>
      </c>
      <c r="V389" s="1093">
        <f t="shared" si="357"/>
        <v>13.2</v>
      </c>
      <c r="W389" s="1093">
        <f t="shared" si="357"/>
        <v>13.2</v>
      </c>
      <c r="X389" s="1093">
        <f t="shared" si="357"/>
        <v>13.2</v>
      </c>
      <c r="Y389" s="1093">
        <f t="shared" si="357"/>
        <v>13.2</v>
      </c>
      <c r="Z389" s="1093">
        <f t="shared" si="357"/>
        <v>13.2</v>
      </c>
      <c r="AA389" s="1093">
        <f t="shared" si="357"/>
        <v>13.2</v>
      </c>
      <c r="AB389" s="1093">
        <f t="shared" si="357"/>
        <v>13.2</v>
      </c>
      <c r="AC389" s="1093">
        <f t="shared" si="357"/>
        <v>13.2</v>
      </c>
      <c r="AD389" s="1093">
        <f t="shared" si="357"/>
        <v>13.2</v>
      </c>
      <c r="AE389" s="1093">
        <f t="shared" si="357"/>
        <v>13.2</v>
      </c>
      <c r="AF389" s="1093">
        <f t="shared" si="357"/>
        <v>13.2</v>
      </c>
      <c r="AG389" s="1093">
        <f t="shared" si="357"/>
        <v>13.2</v>
      </c>
      <c r="AH389" s="1093">
        <f t="shared" si="357"/>
        <v>13.2</v>
      </c>
      <c r="AI389" s="1093">
        <f t="shared" si="357"/>
        <v>13.2</v>
      </c>
      <c r="AJ389" s="1093">
        <f t="shared" si="357"/>
        <v>13.2</v>
      </c>
      <c r="AK389" s="1093">
        <f t="shared" si="357"/>
        <v>13.2</v>
      </c>
      <c r="AL389" s="1093">
        <f t="shared" si="357"/>
        <v>13.2</v>
      </c>
      <c r="AM389" s="1093">
        <f t="shared" ref="AM389:BR389" si="358">AM242</f>
        <v>13.2</v>
      </c>
      <c r="AN389" s="1093">
        <f t="shared" si="358"/>
        <v>13.2</v>
      </c>
      <c r="AO389" s="1093">
        <f t="shared" si="358"/>
        <v>13.2</v>
      </c>
      <c r="AP389" s="1093">
        <f t="shared" si="358"/>
        <v>13.2</v>
      </c>
      <c r="AQ389" s="1093">
        <f t="shared" si="358"/>
        <v>13.2</v>
      </c>
      <c r="AR389" s="1093">
        <f t="shared" si="358"/>
        <v>13.2</v>
      </c>
      <c r="AS389" s="1093">
        <f t="shared" si="358"/>
        <v>13.2</v>
      </c>
      <c r="AT389" s="1093">
        <f t="shared" si="358"/>
        <v>13.2</v>
      </c>
      <c r="AU389" s="1093">
        <f t="shared" si="358"/>
        <v>13.2</v>
      </c>
      <c r="AV389" s="1093">
        <f t="shared" si="358"/>
        <v>13.2</v>
      </c>
      <c r="AW389" s="1093">
        <f t="shared" si="358"/>
        <v>13.2</v>
      </c>
      <c r="AX389" s="1093">
        <f t="shared" si="358"/>
        <v>13.2</v>
      </c>
      <c r="AY389" s="1093">
        <f t="shared" si="358"/>
        <v>13.2</v>
      </c>
      <c r="AZ389" s="1093">
        <f t="shared" si="358"/>
        <v>13.2</v>
      </c>
      <c r="BA389" s="1093">
        <f t="shared" si="358"/>
        <v>13.2</v>
      </c>
      <c r="BB389" s="1093">
        <f t="shared" si="358"/>
        <v>13.2</v>
      </c>
      <c r="BC389" s="1093">
        <f t="shared" si="358"/>
        <v>13.2</v>
      </c>
      <c r="BD389" s="1093">
        <f t="shared" si="358"/>
        <v>13.2</v>
      </c>
      <c r="BE389" s="1093">
        <f t="shared" si="358"/>
        <v>13.2</v>
      </c>
      <c r="BF389" s="1093">
        <f t="shared" si="358"/>
        <v>13.2</v>
      </c>
      <c r="BG389" s="1093">
        <f t="shared" si="358"/>
        <v>13.2</v>
      </c>
      <c r="BH389" s="1093">
        <f t="shared" si="358"/>
        <v>13.2</v>
      </c>
      <c r="BI389" s="1093">
        <f t="shared" si="358"/>
        <v>13.2</v>
      </c>
      <c r="BJ389" s="1093">
        <f t="shared" si="358"/>
        <v>13.2</v>
      </c>
      <c r="BK389" s="1093">
        <f t="shared" si="358"/>
        <v>13.2</v>
      </c>
      <c r="BL389" s="1093">
        <f t="shared" si="358"/>
        <v>13.2</v>
      </c>
      <c r="BM389" s="1093">
        <f t="shared" si="358"/>
        <v>13.2</v>
      </c>
      <c r="BN389" s="1093">
        <f t="shared" si="358"/>
        <v>13.2</v>
      </c>
      <c r="BO389" s="1093">
        <f t="shared" si="358"/>
        <v>13.2</v>
      </c>
      <c r="BP389" s="1093">
        <f t="shared" si="358"/>
        <v>13.2</v>
      </c>
      <c r="BQ389" s="1093">
        <f t="shared" si="358"/>
        <v>13.2</v>
      </c>
      <c r="BR389" s="1093">
        <f t="shared" si="358"/>
        <v>13.2</v>
      </c>
      <c r="BS389" s="1093">
        <f t="shared" ref="BS389:CI389" si="359">BS242</f>
        <v>13.2</v>
      </c>
      <c r="BT389" s="1093">
        <f t="shared" si="359"/>
        <v>13.2</v>
      </c>
      <c r="BU389" s="1093">
        <f t="shared" si="359"/>
        <v>13.2</v>
      </c>
      <c r="BV389" s="1093">
        <f t="shared" si="359"/>
        <v>13.2</v>
      </c>
      <c r="BW389" s="1093">
        <f t="shared" si="359"/>
        <v>13.2</v>
      </c>
      <c r="BX389" s="1093">
        <f t="shared" si="359"/>
        <v>13.2</v>
      </c>
      <c r="BY389" s="1093">
        <f t="shared" si="359"/>
        <v>13.2</v>
      </c>
      <c r="BZ389" s="1093">
        <f t="shared" si="359"/>
        <v>13.2</v>
      </c>
      <c r="CA389" s="1093">
        <f t="shared" si="359"/>
        <v>13.2</v>
      </c>
      <c r="CB389" s="1093">
        <f t="shared" si="359"/>
        <v>13.2</v>
      </c>
      <c r="CC389" s="1093">
        <f t="shared" si="359"/>
        <v>13.2</v>
      </c>
      <c r="CD389" s="1093">
        <f t="shared" si="359"/>
        <v>13.2</v>
      </c>
      <c r="CE389" s="1093">
        <f t="shared" si="359"/>
        <v>13.2</v>
      </c>
      <c r="CF389" s="1093">
        <f t="shared" si="359"/>
        <v>13.2</v>
      </c>
      <c r="CG389" s="1093">
        <f t="shared" si="359"/>
        <v>13.2</v>
      </c>
      <c r="CH389" s="1093">
        <f t="shared" si="359"/>
        <v>13.2</v>
      </c>
      <c r="CI389" s="1094">
        <f t="shared" si="359"/>
        <v>13.2</v>
      </c>
    </row>
    <row r="390" spans="2:87" x14ac:dyDescent="0.35">
      <c r="B390" s="1088"/>
      <c r="C390" s="1089" t="s">
        <v>642</v>
      </c>
      <c r="D390" s="1089"/>
      <c r="E390" s="1089" t="s">
        <v>305</v>
      </c>
      <c r="F390" s="1089">
        <v>2</v>
      </c>
      <c r="G390" s="1093">
        <f t="shared" ref="G390:AL390" si="360">G266-SUM(G386:G389)</f>
        <v>0.54000000000000625</v>
      </c>
      <c r="H390" s="1093">
        <f t="shared" si="360"/>
        <v>0.53999999999999204</v>
      </c>
      <c r="I390" s="1093">
        <f t="shared" si="360"/>
        <v>0.53999999999999204</v>
      </c>
      <c r="J390" s="1093">
        <f t="shared" si="360"/>
        <v>0.54000000000000625</v>
      </c>
      <c r="K390" s="1093">
        <f t="shared" si="360"/>
        <v>0.53999999999999204</v>
      </c>
      <c r="L390" s="1093">
        <f t="shared" si="360"/>
        <v>0.53999999999999204</v>
      </c>
      <c r="M390" s="1093">
        <f t="shared" si="360"/>
        <v>0.53999999999999204</v>
      </c>
      <c r="N390" s="1093">
        <f t="shared" si="360"/>
        <v>0.53999999999999204</v>
      </c>
      <c r="O390" s="1093">
        <f t="shared" si="360"/>
        <v>0.53999999999999204</v>
      </c>
      <c r="P390" s="1093">
        <f t="shared" si="360"/>
        <v>0.54000000000000625</v>
      </c>
      <c r="Q390" s="1093">
        <f t="shared" si="360"/>
        <v>0.53999999999999204</v>
      </c>
      <c r="R390" s="1093">
        <f t="shared" si="360"/>
        <v>0.53999999999999204</v>
      </c>
      <c r="S390" s="1093">
        <f t="shared" si="360"/>
        <v>0.53999999999999204</v>
      </c>
      <c r="T390" s="1093">
        <f t="shared" si="360"/>
        <v>0.54000000000000625</v>
      </c>
      <c r="U390" s="1093">
        <f t="shared" si="360"/>
        <v>0.54000000000000625</v>
      </c>
      <c r="V390" s="1093">
        <f t="shared" si="360"/>
        <v>0.54000000000000625</v>
      </c>
      <c r="W390" s="1093">
        <f t="shared" si="360"/>
        <v>0.53999999999999204</v>
      </c>
      <c r="X390" s="1093">
        <f t="shared" si="360"/>
        <v>0.54000000000002046</v>
      </c>
      <c r="Y390" s="1093">
        <f t="shared" si="360"/>
        <v>0.54000000000002046</v>
      </c>
      <c r="Z390" s="1093">
        <f t="shared" si="360"/>
        <v>0.53999999999999204</v>
      </c>
      <c r="AA390" s="1093">
        <f t="shared" si="360"/>
        <v>0.53999999999997783</v>
      </c>
      <c r="AB390" s="1093">
        <f t="shared" si="360"/>
        <v>0.54000000000000625</v>
      </c>
      <c r="AC390" s="1093">
        <f t="shared" si="360"/>
        <v>0.54000000000000625</v>
      </c>
      <c r="AD390" s="1093">
        <f t="shared" si="360"/>
        <v>0.53999999999999204</v>
      </c>
      <c r="AE390" s="1093">
        <f t="shared" si="360"/>
        <v>0.53999999999999204</v>
      </c>
      <c r="AF390" s="1093">
        <f t="shared" si="360"/>
        <v>0.54000000000000625</v>
      </c>
      <c r="AG390" s="1093">
        <f t="shared" si="360"/>
        <v>0.53999999999999204</v>
      </c>
      <c r="AH390" s="1093">
        <f t="shared" si="360"/>
        <v>0.53999999999999204</v>
      </c>
      <c r="AI390" s="1093">
        <f t="shared" si="360"/>
        <v>0.54000000000000625</v>
      </c>
      <c r="AJ390" s="1093">
        <f t="shared" si="360"/>
        <v>0.53999999999999204</v>
      </c>
      <c r="AK390" s="1093">
        <f t="shared" si="360"/>
        <v>0.54000000000002046</v>
      </c>
      <c r="AL390" s="1093">
        <f t="shared" si="360"/>
        <v>0.54000000000000625</v>
      </c>
      <c r="AM390" s="1093">
        <f t="shared" ref="AM390:BR390" si="361">AM266-SUM(AM386:AM389)</f>
        <v>0.54000000000000625</v>
      </c>
      <c r="AN390" s="1093">
        <f t="shared" si="361"/>
        <v>0.53999999999999204</v>
      </c>
      <c r="AO390" s="1093">
        <f t="shared" si="361"/>
        <v>0.54000000000000625</v>
      </c>
      <c r="AP390" s="1093">
        <f t="shared" si="361"/>
        <v>0.54000000000000625</v>
      </c>
      <c r="AQ390" s="1093">
        <f t="shared" si="361"/>
        <v>0.54000000000000625</v>
      </c>
      <c r="AR390" s="1093">
        <f t="shared" si="361"/>
        <v>0.54000000000000625</v>
      </c>
      <c r="AS390" s="1093">
        <f t="shared" si="361"/>
        <v>0.54000000000000625</v>
      </c>
      <c r="AT390" s="1093">
        <f t="shared" si="361"/>
        <v>0.54000000000000625</v>
      </c>
      <c r="AU390" s="1093">
        <f t="shared" si="361"/>
        <v>0.54000000000002046</v>
      </c>
      <c r="AV390" s="1093">
        <f t="shared" si="361"/>
        <v>0.53999999999999204</v>
      </c>
      <c r="AW390" s="1093">
        <f t="shared" si="361"/>
        <v>0.54000000000002046</v>
      </c>
      <c r="AX390" s="1093">
        <f t="shared" si="361"/>
        <v>0.53999999999997783</v>
      </c>
      <c r="AY390" s="1093">
        <f t="shared" si="361"/>
        <v>0.53999999999997783</v>
      </c>
      <c r="AZ390" s="1093">
        <f t="shared" si="361"/>
        <v>0.54000000000000625</v>
      </c>
      <c r="BA390" s="1093">
        <f t="shared" si="361"/>
        <v>0.54000000000000625</v>
      </c>
      <c r="BB390" s="1093">
        <f t="shared" si="361"/>
        <v>0.54000000000000625</v>
      </c>
      <c r="BC390" s="1093">
        <f t="shared" si="361"/>
        <v>0.54000000000002046</v>
      </c>
      <c r="BD390" s="1093">
        <f t="shared" si="361"/>
        <v>0.54000000000000625</v>
      </c>
      <c r="BE390" s="1093">
        <f t="shared" si="361"/>
        <v>0.54000000000000625</v>
      </c>
      <c r="BF390" s="1093">
        <f t="shared" si="361"/>
        <v>0.54000000000000625</v>
      </c>
      <c r="BG390" s="1093">
        <f t="shared" si="361"/>
        <v>0.54000000000002046</v>
      </c>
      <c r="BH390" s="1093">
        <f t="shared" si="361"/>
        <v>0.54000000000002046</v>
      </c>
      <c r="BI390" s="1093">
        <f t="shared" si="361"/>
        <v>0.54000000000000625</v>
      </c>
      <c r="BJ390" s="1093">
        <f t="shared" si="361"/>
        <v>0.54000000000000625</v>
      </c>
      <c r="BK390" s="1093">
        <f t="shared" si="361"/>
        <v>0.54000000000002046</v>
      </c>
      <c r="BL390" s="1093">
        <f t="shared" si="361"/>
        <v>0.54000000000000625</v>
      </c>
      <c r="BM390" s="1093">
        <f t="shared" si="361"/>
        <v>0.54000000000000625</v>
      </c>
      <c r="BN390" s="1093">
        <f t="shared" si="361"/>
        <v>0.54000000000000625</v>
      </c>
      <c r="BO390" s="1093">
        <f t="shared" si="361"/>
        <v>0.54000000000000625</v>
      </c>
      <c r="BP390" s="1093">
        <f t="shared" si="361"/>
        <v>0.54000000000000625</v>
      </c>
      <c r="BQ390" s="1093">
        <f t="shared" si="361"/>
        <v>0.54000000000000625</v>
      </c>
      <c r="BR390" s="1093">
        <f t="shared" si="361"/>
        <v>0.54000000000002046</v>
      </c>
      <c r="BS390" s="1093">
        <f t="shared" ref="BS390:CI390" si="362">BS266-SUM(BS386:BS389)</f>
        <v>0.54000000000000625</v>
      </c>
      <c r="BT390" s="1093">
        <f t="shared" si="362"/>
        <v>0.54000000000000625</v>
      </c>
      <c r="BU390" s="1093">
        <f t="shared" si="362"/>
        <v>0.54000000000000625</v>
      </c>
      <c r="BV390" s="1093">
        <f t="shared" si="362"/>
        <v>0.54000000000002046</v>
      </c>
      <c r="BW390" s="1093">
        <f t="shared" si="362"/>
        <v>0.54000000000000625</v>
      </c>
      <c r="BX390" s="1093">
        <f t="shared" si="362"/>
        <v>0.54000000000000625</v>
      </c>
      <c r="BY390" s="1093">
        <f t="shared" si="362"/>
        <v>0.54000000000000625</v>
      </c>
      <c r="BZ390" s="1093">
        <f t="shared" si="362"/>
        <v>0.54000000000002046</v>
      </c>
      <c r="CA390" s="1093">
        <f t="shared" si="362"/>
        <v>0.54000000000002046</v>
      </c>
      <c r="CB390" s="1093">
        <f t="shared" si="362"/>
        <v>0.54000000000000625</v>
      </c>
      <c r="CC390" s="1093">
        <f t="shared" si="362"/>
        <v>0.54000000000000625</v>
      </c>
      <c r="CD390" s="1093">
        <f t="shared" si="362"/>
        <v>0.54000000000002046</v>
      </c>
      <c r="CE390" s="1093">
        <f t="shared" si="362"/>
        <v>0.54000000000000625</v>
      </c>
      <c r="CF390" s="1093">
        <f t="shared" si="362"/>
        <v>0.54000000000000625</v>
      </c>
      <c r="CG390" s="1093">
        <f t="shared" si="362"/>
        <v>0.54000000000000625</v>
      </c>
      <c r="CH390" s="1093">
        <f t="shared" si="362"/>
        <v>0.54000000000000625</v>
      </c>
      <c r="CI390" s="1094">
        <f t="shared" si="362"/>
        <v>0.54000000000000625</v>
      </c>
    </row>
    <row r="391" spans="2:87" x14ac:dyDescent="0.35">
      <c r="B391" s="1088"/>
      <c r="C391" s="1089" t="s">
        <v>643</v>
      </c>
      <c r="D391" s="1089"/>
      <c r="E391" s="1089" t="s">
        <v>305</v>
      </c>
      <c r="F391" s="1089">
        <v>2</v>
      </c>
      <c r="G391" s="1093">
        <f t="shared" ref="G391:AL391" si="363">G223</f>
        <v>137.38</v>
      </c>
      <c r="H391" s="1093">
        <f t="shared" si="363"/>
        <v>137.38</v>
      </c>
      <c r="I391" s="1093">
        <f t="shared" si="363"/>
        <v>137.38</v>
      </c>
      <c r="J391" s="1093">
        <f t="shared" si="363"/>
        <v>137.38</v>
      </c>
      <c r="K391" s="1093">
        <f t="shared" si="363"/>
        <v>137.38</v>
      </c>
      <c r="L391" s="1093">
        <f t="shared" si="363"/>
        <v>137.38</v>
      </c>
      <c r="M391" s="1093">
        <f t="shared" si="363"/>
        <v>124.8278473381295</v>
      </c>
      <c r="N391" s="1093">
        <f t="shared" si="363"/>
        <v>124.67994733812951</v>
      </c>
      <c r="O391" s="1093">
        <f t="shared" si="363"/>
        <v>124.1720473381295</v>
      </c>
      <c r="P391" s="1093">
        <f t="shared" si="363"/>
        <v>124.02414733812951</v>
      </c>
      <c r="Q391" s="1093">
        <f t="shared" si="363"/>
        <v>123.8762473381295</v>
      </c>
      <c r="R391" s="1093">
        <f t="shared" si="363"/>
        <v>105.7183473381295</v>
      </c>
      <c r="S391" s="1093">
        <f t="shared" si="363"/>
        <v>105.5704473381295</v>
      </c>
      <c r="T391" s="1093">
        <f t="shared" si="363"/>
        <v>105.4225473381295</v>
      </c>
      <c r="U391" s="1093">
        <f t="shared" si="363"/>
        <v>105.2746473381295</v>
      </c>
      <c r="V391" s="1093">
        <f t="shared" si="363"/>
        <v>105.1267473381295</v>
      </c>
      <c r="W391" s="1093">
        <f t="shared" si="363"/>
        <v>104.9788473381295</v>
      </c>
      <c r="X391" s="1093">
        <f t="shared" si="363"/>
        <v>104.8309473381295</v>
      </c>
      <c r="Y391" s="1093">
        <f t="shared" si="363"/>
        <v>104.6830473381295</v>
      </c>
      <c r="Z391" s="1093">
        <f t="shared" si="363"/>
        <v>104.53514733812951</v>
      </c>
      <c r="AA391" s="1093">
        <f t="shared" si="363"/>
        <v>104.3872473381295</v>
      </c>
      <c r="AB391" s="1093">
        <f t="shared" si="363"/>
        <v>72.349999999999994</v>
      </c>
      <c r="AC391" s="1093">
        <f t="shared" si="363"/>
        <v>72.349999999999994</v>
      </c>
      <c r="AD391" s="1093">
        <f t="shared" si="363"/>
        <v>72.349999999999994</v>
      </c>
      <c r="AE391" s="1093">
        <f t="shared" si="363"/>
        <v>72.349999999999994</v>
      </c>
      <c r="AF391" s="1093">
        <f t="shared" si="363"/>
        <v>72.349999999999994</v>
      </c>
      <c r="AG391" s="1093">
        <f t="shared" si="363"/>
        <v>72.349999999999994</v>
      </c>
      <c r="AH391" s="1093">
        <f t="shared" si="363"/>
        <v>72.349999999999994</v>
      </c>
      <c r="AI391" s="1093">
        <f t="shared" si="363"/>
        <v>72.349999999999994</v>
      </c>
      <c r="AJ391" s="1093">
        <f t="shared" si="363"/>
        <v>72.349999999999994</v>
      </c>
      <c r="AK391" s="1093">
        <f t="shared" si="363"/>
        <v>72.349999999999994</v>
      </c>
      <c r="AL391" s="1093">
        <f t="shared" si="363"/>
        <v>72.349999999999994</v>
      </c>
      <c r="AM391" s="1093">
        <f t="shared" ref="AM391:BR391" si="364">AM223</f>
        <v>72.349999999999994</v>
      </c>
      <c r="AN391" s="1093">
        <f t="shared" si="364"/>
        <v>72.349999999999994</v>
      </c>
      <c r="AO391" s="1093">
        <f t="shared" si="364"/>
        <v>72.349999999999994</v>
      </c>
      <c r="AP391" s="1093">
        <f t="shared" si="364"/>
        <v>72.349999999999994</v>
      </c>
      <c r="AQ391" s="1093">
        <f t="shared" si="364"/>
        <v>72.349999999999994</v>
      </c>
      <c r="AR391" s="1093">
        <f t="shared" si="364"/>
        <v>72.349999999999994</v>
      </c>
      <c r="AS391" s="1093">
        <f t="shared" si="364"/>
        <v>72.349999999999994</v>
      </c>
      <c r="AT391" s="1093">
        <f t="shared" si="364"/>
        <v>72.349999999999994</v>
      </c>
      <c r="AU391" s="1093">
        <f t="shared" si="364"/>
        <v>72.349999999999994</v>
      </c>
      <c r="AV391" s="1093">
        <f t="shared" si="364"/>
        <v>72.349999999999994</v>
      </c>
      <c r="AW391" s="1093">
        <f t="shared" si="364"/>
        <v>72.349999999999994</v>
      </c>
      <c r="AX391" s="1093">
        <f t="shared" si="364"/>
        <v>72.349999999999994</v>
      </c>
      <c r="AY391" s="1093">
        <f t="shared" si="364"/>
        <v>72.349999999999994</v>
      </c>
      <c r="AZ391" s="1093">
        <f t="shared" si="364"/>
        <v>72.349999999999994</v>
      </c>
      <c r="BA391" s="1093">
        <f t="shared" si="364"/>
        <v>72.349999999999994</v>
      </c>
      <c r="BB391" s="1093">
        <f t="shared" si="364"/>
        <v>72.349999999999994</v>
      </c>
      <c r="BC391" s="1093">
        <f t="shared" si="364"/>
        <v>72.349999999999994</v>
      </c>
      <c r="BD391" s="1093">
        <f t="shared" si="364"/>
        <v>72.349999999999994</v>
      </c>
      <c r="BE391" s="1093">
        <f t="shared" si="364"/>
        <v>72.349999999999994</v>
      </c>
      <c r="BF391" s="1093">
        <f t="shared" si="364"/>
        <v>72.349999999999994</v>
      </c>
      <c r="BG391" s="1093">
        <f t="shared" si="364"/>
        <v>72.349999999999994</v>
      </c>
      <c r="BH391" s="1093">
        <f t="shared" si="364"/>
        <v>72.349999999999994</v>
      </c>
      <c r="BI391" s="1093">
        <f t="shared" si="364"/>
        <v>72.349999999999994</v>
      </c>
      <c r="BJ391" s="1093">
        <f t="shared" si="364"/>
        <v>72.349999999999994</v>
      </c>
      <c r="BK391" s="1093">
        <f t="shared" si="364"/>
        <v>72.349999999999994</v>
      </c>
      <c r="BL391" s="1093">
        <f t="shared" si="364"/>
        <v>72.349999999999994</v>
      </c>
      <c r="BM391" s="1093">
        <f t="shared" si="364"/>
        <v>72.349999999999994</v>
      </c>
      <c r="BN391" s="1093">
        <f t="shared" si="364"/>
        <v>72.349999999999994</v>
      </c>
      <c r="BO391" s="1093">
        <f t="shared" si="364"/>
        <v>72.349999999999994</v>
      </c>
      <c r="BP391" s="1093">
        <f t="shared" si="364"/>
        <v>72.349999999999994</v>
      </c>
      <c r="BQ391" s="1093">
        <f t="shared" si="364"/>
        <v>72.349999999999994</v>
      </c>
      <c r="BR391" s="1093">
        <f t="shared" si="364"/>
        <v>72.349999999999994</v>
      </c>
      <c r="BS391" s="1093">
        <f t="shared" ref="BS391:CI391" si="365">BS223</f>
        <v>72.349999999999994</v>
      </c>
      <c r="BT391" s="1093">
        <f t="shared" si="365"/>
        <v>72.349999999999994</v>
      </c>
      <c r="BU391" s="1093">
        <f t="shared" si="365"/>
        <v>72.349999999999994</v>
      </c>
      <c r="BV391" s="1093">
        <f t="shared" si="365"/>
        <v>72.349999999999994</v>
      </c>
      <c r="BW391" s="1093">
        <f t="shared" si="365"/>
        <v>72.349999999999994</v>
      </c>
      <c r="BX391" s="1093">
        <f t="shared" si="365"/>
        <v>72.349999999999994</v>
      </c>
      <c r="BY391" s="1093">
        <f t="shared" si="365"/>
        <v>72.349999999999994</v>
      </c>
      <c r="BZ391" s="1093">
        <f t="shared" si="365"/>
        <v>72.349999999999994</v>
      </c>
      <c r="CA391" s="1093">
        <f t="shared" si="365"/>
        <v>72.349999999999994</v>
      </c>
      <c r="CB391" s="1093">
        <f t="shared" si="365"/>
        <v>72.349999999999994</v>
      </c>
      <c r="CC391" s="1093">
        <f t="shared" si="365"/>
        <v>72.349999999999994</v>
      </c>
      <c r="CD391" s="1093">
        <f t="shared" si="365"/>
        <v>72.349999999999994</v>
      </c>
      <c r="CE391" s="1093">
        <f t="shared" si="365"/>
        <v>72.349999999999994</v>
      </c>
      <c r="CF391" s="1093">
        <f t="shared" si="365"/>
        <v>72.349999999999994</v>
      </c>
      <c r="CG391" s="1093">
        <f t="shared" si="365"/>
        <v>72.349999999999994</v>
      </c>
      <c r="CH391" s="1093">
        <f t="shared" si="365"/>
        <v>72.349999999999994</v>
      </c>
      <c r="CI391" s="1094">
        <f t="shared" si="365"/>
        <v>72.349999999999994</v>
      </c>
    </row>
    <row r="392" spans="2:87" x14ac:dyDescent="0.35">
      <c r="B392" s="1088"/>
      <c r="C392" s="1089" t="s">
        <v>644</v>
      </c>
      <c r="D392" s="1089"/>
      <c r="E392" s="1089" t="s">
        <v>305</v>
      </c>
      <c r="F392" s="1089">
        <v>2</v>
      </c>
      <c r="G392" s="1093">
        <f t="shared" ref="G392:AL392" si="366">SUM(G386:G390)+G269</f>
        <v>90.940000000000012</v>
      </c>
      <c r="H392" s="1093">
        <f t="shared" si="366"/>
        <v>92.983559690000007</v>
      </c>
      <c r="I392" s="1093">
        <f t="shared" si="366"/>
        <v>100.24366295</v>
      </c>
      <c r="J392" s="1093">
        <f t="shared" si="366"/>
        <v>104.96501184714751</v>
      </c>
      <c r="K392" s="1093">
        <f t="shared" si="366"/>
        <v>105.4945452745461</v>
      </c>
      <c r="L392" s="1093">
        <f t="shared" si="366"/>
        <v>104.4782110426579</v>
      </c>
      <c r="M392" s="1093">
        <f t="shared" si="366"/>
        <v>106.19944624189301</v>
      </c>
      <c r="N392" s="1093">
        <f t="shared" si="366"/>
        <v>107.54991081986962</v>
      </c>
      <c r="O392" s="1093">
        <f t="shared" si="366"/>
        <v>109.03884601555053</v>
      </c>
      <c r="P392" s="1093">
        <f t="shared" si="366"/>
        <v>110.63301227155486</v>
      </c>
      <c r="Q392" s="1093">
        <f t="shared" si="366"/>
        <v>112.00434000291907</v>
      </c>
      <c r="R392" s="1093">
        <f t="shared" si="366"/>
        <v>111.87521272553791</v>
      </c>
      <c r="S392" s="1093">
        <f t="shared" si="366"/>
        <v>112.79733130591214</v>
      </c>
      <c r="T392" s="1093">
        <f t="shared" si="366"/>
        <v>113.65358787710549</v>
      </c>
      <c r="U392" s="1093">
        <f t="shared" si="366"/>
        <v>114.61352523204147</v>
      </c>
      <c r="V392" s="1093">
        <f t="shared" si="366"/>
        <v>115.35823062598809</v>
      </c>
      <c r="W392" s="1093">
        <f t="shared" si="366"/>
        <v>115.01476392511778</v>
      </c>
      <c r="X392" s="1093">
        <f t="shared" si="366"/>
        <v>115.70866410766607</v>
      </c>
      <c r="Y392" s="1093">
        <f t="shared" si="366"/>
        <v>116.33535071103755</v>
      </c>
      <c r="Z392" s="1093">
        <f t="shared" si="366"/>
        <v>117.01218157969819</v>
      </c>
      <c r="AA392" s="1093">
        <f t="shared" si="366"/>
        <v>117.60129203903443</v>
      </c>
      <c r="AB392" s="1093">
        <f t="shared" si="366"/>
        <v>117.30650432557019</v>
      </c>
      <c r="AC392" s="1093">
        <f t="shared" si="366"/>
        <v>117.50954516966098</v>
      </c>
      <c r="AD392" s="1093">
        <f t="shared" si="366"/>
        <v>117.69001570826927</v>
      </c>
      <c r="AE392" s="1093">
        <f t="shared" si="366"/>
        <v>118.21058051675132</v>
      </c>
      <c r="AF392" s="1093">
        <f t="shared" si="366"/>
        <v>118.33772021289234</v>
      </c>
      <c r="AG392" s="1093">
        <f t="shared" si="366"/>
        <v>118.78203547870524</v>
      </c>
      <c r="AH392" s="1093">
        <f t="shared" si="366"/>
        <v>118.98358189641102</v>
      </c>
      <c r="AI392" s="1093">
        <f t="shared" si="366"/>
        <v>119.17685428978221</v>
      </c>
      <c r="AJ392" s="1093">
        <f t="shared" si="366"/>
        <v>119.46966411155142</v>
      </c>
      <c r="AK392" s="1093">
        <f t="shared" si="366"/>
        <v>119.37396641733827</v>
      </c>
      <c r="AL392" s="1093">
        <f t="shared" si="366"/>
        <v>119.761530938915</v>
      </c>
      <c r="AM392" s="1093">
        <f t="shared" ref="AM392:BR392" si="367">SUM(AM386:AM390)+AM269</f>
        <v>119.85513992842677</v>
      </c>
      <c r="AN392" s="1093">
        <f t="shared" si="367"/>
        <v>119.9895028358379</v>
      </c>
      <c r="AO392" s="1093">
        <f t="shared" si="367"/>
        <v>120.13145557857752</v>
      </c>
      <c r="AP392" s="1093">
        <f t="shared" si="367"/>
        <v>120.14076265294818</v>
      </c>
      <c r="AQ392" s="1093">
        <f t="shared" si="367"/>
        <v>120.3853929897045</v>
      </c>
      <c r="AR392" s="1093">
        <f t="shared" si="367"/>
        <v>120.42657782225463</v>
      </c>
      <c r="AS392" s="1093">
        <f t="shared" si="367"/>
        <v>120.4923031236516</v>
      </c>
      <c r="AT392" s="1093">
        <f t="shared" si="367"/>
        <v>120.69286782898432</v>
      </c>
      <c r="AU392" s="1093">
        <f t="shared" si="367"/>
        <v>120.68525955104097</v>
      </c>
      <c r="AV392" s="1093">
        <f t="shared" si="367"/>
        <v>120.77089298251992</v>
      </c>
      <c r="AW392" s="1093">
        <f t="shared" si="367"/>
        <v>120.77339889109382</v>
      </c>
      <c r="AX392" s="1093">
        <f t="shared" si="367"/>
        <v>120.822859051021</v>
      </c>
      <c r="AY392" s="1093">
        <f t="shared" si="367"/>
        <v>121.08976917303357</v>
      </c>
      <c r="AZ392" s="1093">
        <f t="shared" si="367"/>
        <v>120.95434611662938</v>
      </c>
      <c r="BA392" s="1093">
        <f t="shared" si="367"/>
        <v>121.18434651558501</v>
      </c>
      <c r="BB392" s="1093">
        <f t="shared" si="367"/>
        <v>121.16565125606644</v>
      </c>
      <c r="BC392" s="1093">
        <f t="shared" si="367"/>
        <v>121.31472530834161</v>
      </c>
      <c r="BD392" s="1093">
        <f t="shared" si="367"/>
        <v>121.28743478440786</v>
      </c>
      <c r="BE392" s="1093">
        <f t="shared" si="367"/>
        <v>121.13771054454273</v>
      </c>
      <c r="BF392" s="1093">
        <f t="shared" si="367"/>
        <v>121.52620414068627</v>
      </c>
      <c r="BG392" s="1093">
        <f t="shared" si="367"/>
        <v>121.50616677924853</v>
      </c>
      <c r="BH392" s="1093">
        <f t="shared" si="367"/>
        <v>121.77412336308241</v>
      </c>
      <c r="BI392" s="1093">
        <f t="shared" si="367"/>
        <v>121.89570588820439</v>
      </c>
      <c r="BJ392" s="1093">
        <f t="shared" si="367"/>
        <v>121.75961570986735</v>
      </c>
      <c r="BK392" s="1093">
        <f t="shared" si="367"/>
        <v>122.16610538574527</v>
      </c>
      <c r="BL392" s="1093">
        <f t="shared" si="367"/>
        <v>122.04901182945932</v>
      </c>
      <c r="BM392" s="1093">
        <f t="shared" si="367"/>
        <v>122.17115829547748</v>
      </c>
      <c r="BN392" s="1093">
        <f t="shared" si="367"/>
        <v>122.34733644074369</v>
      </c>
      <c r="BO392" s="1093">
        <f t="shared" si="367"/>
        <v>122.61181270887181</v>
      </c>
      <c r="BP392" s="1093">
        <f t="shared" si="367"/>
        <v>122.74655611973088</v>
      </c>
      <c r="BQ392" s="1093">
        <f t="shared" si="367"/>
        <v>122.8749005464186</v>
      </c>
      <c r="BR392" s="1093">
        <f t="shared" si="367"/>
        <v>122.84605320900451</v>
      </c>
      <c r="BS392" s="1093">
        <f t="shared" ref="BS392:CI392" si="368">SUM(BS386:BS390)+BS269</f>
        <v>123.26262702545624</v>
      </c>
      <c r="BT392" s="1093">
        <f t="shared" si="368"/>
        <v>123.31869985082677</v>
      </c>
      <c r="BU392" s="1093">
        <f t="shared" si="368"/>
        <v>123.29193810752373</v>
      </c>
      <c r="BV392" s="1093">
        <f t="shared" si="368"/>
        <v>123.75928684184659</v>
      </c>
      <c r="BW392" s="1093">
        <f t="shared" si="368"/>
        <v>123.8690835743011</v>
      </c>
      <c r="BX392" s="1093">
        <f t="shared" si="368"/>
        <v>123.89734248678803</v>
      </c>
      <c r="BY392" s="1093">
        <f t="shared" si="368"/>
        <v>124.23687412086974</v>
      </c>
      <c r="BZ392" s="1093">
        <f t="shared" si="368"/>
        <v>124.55254354628596</v>
      </c>
      <c r="CA392" s="1093">
        <f t="shared" si="368"/>
        <v>124.75453530393487</v>
      </c>
      <c r="CB392" s="1093">
        <f t="shared" si="368"/>
        <v>124.86829080286844</v>
      </c>
      <c r="CC392" s="1093">
        <f t="shared" si="368"/>
        <v>125.02984765192775</v>
      </c>
      <c r="CD392" s="1093">
        <f t="shared" si="368"/>
        <v>125.0453610147072</v>
      </c>
      <c r="CE392" s="1093">
        <f t="shared" si="368"/>
        <v>125.41694252664171</v>
      </c>
      <c r="CF392" s="1093">
        <f t="shared" si="368"/>
        <v>125.52824234117762</v>
      </c>
      <c r="CG392" s="1093">
        <f t="shared" si="368"/>
        <v>125.79196560536847</v>
      </c>
      <c r="CH392" s="1093">
        <f t="shared" si="368"/>
        <v>125.83222752707121</v>
      </c>
      <c r="CI392" s="1094">
        <f t="shared" si="368"/>
        <v>126.18567802980412</v>
      </c>
    </row>
    <row r="393" spans="2:87" x14ac:dyDescent="0.35">
      <c r="B393" s="1088"/>
      <c r="C393" s="1089"/>
      <c r="D393" s="1089"/>
      <c r="E393" s="1089"/>
      <c r="F393" s="1089"/>
      <c r="G393" s="1089"/>
      <c r="H393" s="1089"/>
      <c r="I393" s="1089"/>
      <c r="J393" s="1089"/>
      <c r="K393" s="1089"/>
      <c r="L393" s="1089"/>
      <c r="M393" s="1089"/>
      <c r="N393" s="1089"/>
      <c r="O393" s="1089"/>
      <c r="P393" s="1089"/>
      <c r="Q393" s="1089"/>
      <c r="R393" s="1089"/>
      <c r="S393" s="1089"/>
      <c r="T393" s="1089"/>
      <c r="U393" s="1089"/>
      <c r="V393" s="1089"/>
      <c r="W393" s="1089"/>
      <c r="X393" s="1089"/>
      <c r="Y393" s="1089"/>
      <c r="Z393" s="1089"/>
      <c r="AA393" s="1089"/>
      <c r="AB393" s="1089"/>
      <c r="AC393" s="1089"/>
      <c r="AD393" s="1089"/>
      <c r="AE393" s="1089"/>
      <c r="AF393" s="1089"/>
      <c r="AG393" s="1089"/>
      <c r="AH393" s="1089"/>
      <c r="AI393" s="1089"/>
      <c r="AJ393" s="1089"/>
      <c r="AK393" s="1089"/>
      <c r="AL393" s="1089"/>
      <c r="AM393" s="1089"/>
      <c r="AN393" s="1089"/>
      <c r="AO393" s="1089"/>
      <c r="AP393" s="1089"/>
      <c r="AQ393" s="1089"/>
      <c r="AR393" s="1089"/>
      <c r="AS393" s="1089"/>
      <c r="AT393" s="1089"/>
      <c r="AU393" s="1089"/>
      <c r="AV393" s="1089"/>
      <c r="AW393" s="1089"/>
      <c r="AX393" s="1089"/>
      <c r="AY393" s="1089"/>
      <c r="AZ393" s="1089"/>
      <c r="BA393" s="1089"/>
      <c r="BB393" s="1089"/>
      <c r="BC393" s="1089"/>
      <c r="BD393" s="1089"/>
      <c r="BE393" s="1089"/>
      <c r="BF393" s="1089"/>
      <c r="BG393" s="1089"/>
      <c r="BH393" s="1089"/>
      <c r="BI393" s="1089"/>
      <c r="BJ393" s="1089"/>
      <c r="BK393" s="1089"/>
      <c r="BL393" s="1089"/>
      <c r="BM393" s="1089"/>
      <c r="BN393" s="1089"/>
      <c r="BO393" s="1089"/>
      <c r="BP393" s="1089"/>
      <c r="BQ393" s="1089"/>
      <c r="BR393" s="1089"/>
      <c r="BS393" s="1089"/>
      <c r="BT393" s="1089"/>
      <c r="BU393" s="1089"/>
      <c r="BV393" s="1089"/>
      <c r="BW393" s="1089"/>
      <c r="BX393" s="1089"/>
      <c r="BY393" s="1089"/>
      <c r="BZ393" s="1089"/>
      <c r="CA393" s="1089"/>
      <c r="CB393" s="1089"/>
      <c r="CC393" s="1089"/>
      <c r="CD393" s="1089"/>
      <c r="CE393" s="1089"/>
      <c r="CF393" s="1089"/>
      <c r="CG393" s="1089"/>
      <c r="CH393" s="1089"/>
      <c r="CI393" s="1090"/>
    </row>
    <row r="394" spans="2:87" x14ac:dyDescent="0.35">
      <c r="B394" s="1088" t="s">
        <v>647</v>
      </c>
      <c r="C394" s="1089"/>
      <c r="D394" s="1089"/>
      <c r="E394" s="1089"/>
      <c r="F394" s="1089"/>
      <c r="G394" s="1091" t="s">
        <v>221</v>
      </c>
      <c r="H394" s="1091" t="s">
        <v>222</v>
      </c>
      <c r="I394" s="1091" t="s">
        <v>223</v>
      </c>
      <c r="J394" s="1091" t="s">
        <v>224</v>
      </c>
      <c r="K394" s="1091" t="s">
        <v>225</v>
      </c>
      <c r="L394" s="1091" t="s">
        <v>226</v>
      </c>
      <c r="M394" s="1091" t="s">
        <v>227</v>
      </c>
      <c r="N394" s="1091" t="s">
        <v>228</v>
      </c>
      <c r="O394" s="1091" t="s">
        <v>229</v>
      </c>
      <c r="P394" s="1091" t="s">
        <v>230</v>
      </c>
      <c r="Q394" s="1091" t="s">
        <v>231</v>
      </c>
      <c r="R394" s="1091" t="s">
        <v>232</v>
      </c>
      <c r="S394" s="1091" t="s">
        <v>233</v>
      </c>
      <c r="T394" s="1091" t="s">
        <v>234</v>
      </c>
      <c r="U394" s="1091" t="s">
        <v>235</v>
      </c>
      <c r="V394" s="1091" t="s">
        <v>236</v>
      </c>
      <c r="W394" s="1091" t="s">
        <v>237</v>
      </c>
      <c r="X394" s="1091" t="s">
        <v>238</v>
      </c>
      <c r="Y394" s="1091" t="s">
        <v>239</v>
      </c>
      <c r="Z394" s="1091" t="s">
        <v>240</v>
      </c>
      <c r="AA394" s="1091" t="s">
        <v>241</v>
      </c>
      <c r="AB394" s="1091" t="s">
        <v>242</v>
      </c>
      <c r="AC394" s="1091" t="s">
        <v>243</v>
      </c>
      <c r="AD394" s="1091" t="s">
        <v>244</v>
      </c>
      <c r="AE394" s="1091" t="s">
        <v>245</v>
      </c>
      <c r="AF394" s="1091" t="s">
        <v>246</v>
      </c>
      <c r="AG394" s="1091" t="s">
        <v>247</v>
      </c>
      <c r="AH394" s="1091" t="s">
        <v>248</v>
      </c>
      <c r="AI394" s="1091" t="s">
        <v>249</v>
      </c>
      <c r="AJ394" s="1091" t="s">
        <v>250</v>
      </c>
      <c r="AK394" s="1091" t="s">
        <v>251</v>
      </c>
      <c r="AL394" s="1091" t="s">
        <v>252</v>
      </c>
      <c r="AM394" s="1091" t="s">
        <v>253</v>
      </c>
      <c r="AN394" s="1091" t="s">
        <v>254</v>
      </c>
      <c r="AO394" s="1091" t="s">
        <v>255</v>
      </c>
      <c r="AP394" s="1091" t="s">
        <v>256</v>
      </c>
      <c r="AQ394" s="1091" t="s">
        <v>257</v>
      </c>
      <c r="AR394" s="1091" t="s">
        <v>258</v>
      </c>
      <c r="AS394" s="1091" t="s">
        <v>259</v>
      </c>
      <c r="AT394" s="1091" t="s">
        <v>260</v>
      </c>
      <c r="AU394" s="1091" t="s">
        <v>261</v>
      </c>
      <c r="AV394" s="1091" t="s">
        <v>262</v>
      </c>
      <c r="AW394" s="1091" t="s">
        <v>263</v>
      </c>
      <c r="AX394" s="1091" t="s">
        <v>264</v>
      </c>
      <c r="AY394" s="1091" t="s">
        <v>265</v>
      </c>
      <c r="AZ394" s="1091" t="s">
        <v>266</v>
      </c>
      <c r="BA394" s="1091" t="s">
        <v>267</v>
      </c>
      <c r="BB394" s="1091" t="s">
        <v>268</v>
      </c>
      <c r="BC394" s="1091" t="s">
        <v>269</v>
      </c>
      <c r="BD394" s="1091" t="s">
        <v>270</v>
      </c>
      <c r="BE394" s="1091" t="s">
        <v>271</v>
      </c>
      <c r="BF394" s="1091" t="s">
        <v>272</v>
      </c>
      <c r="BG394" s="1091" t="s">
        <v>273</v>
      </c>
      <c r="BH394" s="1091" t="s">
        <v>274</v>
      </c>
      <c r="BI394" s="1091" t="s">
        <v>275</v>
      </c>
      <c r="BJ394" s="1091" t="s">
        <v>276</v>
      </c>
      <c r="BK394" s="1091" t="s">
        <v>277</v>
      </c>
      <c r="BL394" s="1091" t="s">
        <v>278</v>
      </c>
      <c r="BM394" s="1091" t="s">
        <v>279</v>
      </c>
      <c r="BN394" s="1091" t="s">
        <v>280</v>
      </c>
      <c r="BO394" s="1091" t="s">
        <v>281</v>
      </c>
      <c r="BP394" s="1091" t="s">
        <v>282</v>
      </c>
      <c r="BQ394" s="1091" t="s">
        <v>283</v>
      </c>
      <c r="BR394" s="1091" t="s">
        <v>284</v>
      </c>
      <c r="BS394" s="1091" t="s">
        <v>285</v>
      </c>
      <c r="BT394" s="1091" t="s">
        <v>286</v>
      </c>
      <c r="BU394" s="1091" t="s">
        <v>287</v>
      </c>
      <c r="BV394" s="1091" t="s">
        <v>288</v>
      </c>
      <c r="BW394" s="1091" t="s">
        <v>289</v>
      </c>
      <c r="BX394" s="1091" t="s">
        <v>290</v>
      </c>
      <c r="BY394" s="1091" t="s">
        <v>291</v>
      </c>
      <c r="BZ394" s="1091" t="s">
        <v>292</v>
      </c>
      <c r="CA394" s="1091" t="s">
        <v>293</v>
      </c>
      <c r="CB394" s="1091" t="s">
        <v>294</v>
      </c>
      <c r="CC394" s="1091" t="s">
        <v>295</v>
      </c>
      <c r="CD394" s="1091" t="s">
        <v>296</v>
      </c>
      <c r="CE394" s="1091" t="s">
        <v>297</v>
      </c>
      <c r="CF394" s="1091" t="s">
        <v>298</v>
      </c>
      <c r="CG394" s="1091" t="s">
        <v>299</v>
      </c>
      <c r="CH394" s="1091" t="s">
        <v>300</v>
      </c>
      <c r="CI394" s="1092" t="s">
        <v>301</v>
      </c>
    </row>
    <row r="395" spans="2:87" x14ac:dyDescent="0.35">
      <c r="B395" s="1088"/>
      <c r="C395" s="1089" t="s">
        <v>639</v>
      </c>
      <c r="D395" s="1089"/>
      <c r="E395" s="1089" t="s">
        <v>305</v>
      </c>
      <c r="F395" s="1089">
        <v>2</v>
      </c>
      <c r="G395" s="1093">
        <f t="shared" ref="G395:AL395" si="369">G317-G328</f>
        <v>33.08</v>
      </c>
      <c r="H395" s="1093">
        <f t="shared" si="369"/>
        <v>34.1</v>
      </c>
      <c r="I395" s="1093">
        <f t="shared" si="369"/>
        <v>40.615135340000002</v>
      </c>
      <c r="J395" s="1093">
        <f t="shared" si="369"/>
        <v>40.854823109999998</v>
      </c>
      <c r="K395" s="1093">
        <f t="shared" si="369"/>
        <v>40.763159250000001</v>
      </c>
      <c r="L395" s="1093">
        <f t="shared" si="369"/>
        <v>40.581026379999997</v>
      </c>
      <c r="M395" s="1093">
        <f t="shared" si="369"/>
        <v>42.432405678181816</v>
      </c>
      <c r="N395" s="1093">
        <f t="shared" si="369"/>
        <v>43.99005577636364</v>
      </c>
      <c r="O395" s="1093">
        <f t="shared" si="369"/>
        <v>45.721499464545452</v>
      </c>
      <c r="P395" s="1093">
        <f t="shared" si="369"/>
        <v>47.42748353272728</v>
      </c>
      <c r="Q395" s="1093">
        <f t="shared" si="369"/>
        <v>48.889800197977422</v>
      </c>
      <c r="R395" s="1093">
        <f t="shared" si="369"/>
        <v>50.253531247208606</v>
      </c>
      <c r="S395" s="1093">
        <f t="shared" si="369"/>
        <v>51.45958783669586</v>
      </c>
      <c r="T395" s="1093">
        <f t="shared" si="369"/>
        <v>52.536031729567576</v>
      </c>
      <c r="U395" s="1093">
        <f t="shared" si="369"/>
        <v>53.617743074084537</v>
      </c>
      <c r="V395" s="1093">
        <f t="shared" si="369"/>
        <v>54.709665438519714</v>
      </c>
      <c r="W395" s="1093">
        <f t="shared" si="369"/>
        <v>55.863565358253062</v>
      </c>
      <c r="X395" s="1093">
        <f t="shared" si="369"/>
        <v>55.8441611644622</v>
      </c>
      <c r="Y395" s="1093">
        <f t="shared" si="369"/>
        <v>55.787597969039247</v>
      </c>
      <c r="Z395" s="1093">
        <f t="shared" si="369"/>
        <v>55.743628671667238</v>
      </c>
      <c r="AA395" s="1093">
        <f t="shared" si="369"/>
        <v>55.67038893229541</v>
      </c>
      <c r="AB395" s="1093">
        <f t="shared" si="369"/>
        <v>55.597585630323387</v>
      </c>
      <c r="AC395" s="1093">
        <f t="shared" si="369"/>
        <v>55.509476750779172</v>
      </c>
      <c r="AD395" s="1093">
        <f t="shared" si="369"/>
        <v>55.405105765866743</v>
      </c>
      <c r="AE395" s="1093">
        <f t="shared" si="369"/>
        <v>55.288860457314826</v>
      </c>
      <c r="AF395" s="1093">
        <f t="shared" si="369"/>
        <v>55.151252433940748</v>
      </c>
      <c r="AG395" s="1093">
        <f t="shared" si="369"/>
        <v>55.247296193718157</v>
      </c>
      <c r="AH395" s="1093">
        <f t="shared" si="369"/>
        <v>55.324015847545603</v>
      </c>
      <c r="AI395" s="1093">
        <f t="shared" si="369"/>
        <v>55.390001954138661</v>
      </c>
      <c r="AJ395" s="1093">
        <f t="shared" si="369"/>
        <v>55.441122669170269</v>
      </c>
      <c r="AK395" s="1093">
        <f t="shared" si="369"/>
        <v>55.472659121878081</v>
      </c>
      <c r="AL395" s="1093">
        <f t="shared" si="369"/>
        <v>55.443176911891698</v>
      </c>
      <c r="AM395" s="1093">
        <f t="shared" ref="AM395:BR395" si="370">AM317-AM328</f>
        <v>55.408749189814721</v>
      </c>
      <c r="AN395" s="1093">
        <f t="shared" si="370"/>
        <v>55.372786446069533</v>
      </c>
      <c r="AO395" s="1093">
        <f t="shared" si="370"/>
        <v>55.442505870293168</v>
      </c>
      <c r="AP395" s="1093">
        <f t="shared" si="370"/>
        <v>55.51321939547546</v>
      </c>
      <c r="AQ395" s="1093">
        <f t="shared" si="370"/>
        <v>55.583839040527046</v>
      </c>
      <c r="AR395" s="1093">
        <f t="shared" si="370"/>
        <v>55.653539362733468</v>
      </c>
      <c r="AS395" s="1093">
        <f t="shared" si="370"/>
        <v>55.715641144680937</v>
      </c>
      <c r="AT395" s="1093">
        <f t="shared" si="370"/>
        <v>55.77175775935536</v>
      </c>
      <c r="AU395" s="1093">
        <f t="shared" si="370"/>
        <v>55.827479415923094</v>
      </c>
      <c r="AV395" s="1093">
        <f t="shared" si="370"/>
        <v>55.879886546579499</v>
      </c>
      <c r="AW395" s="1093">
        <f t="shared" si="370"/>
        <v>55.930264339411785</v>
      </c>
      <c r="AX395" s="1093">
        <f t="shared" si="370"/>
        <v>55.980620518313962</v>
      </c>
      <c r="AY395" s="1093">
        <f t="shared" si="370"/>
        <v>56.03074954787423</v>
      </c>
      <c r="AZ395" s="1093">
        <f t="shared" si="370"/>
        <v>56.082638735132335</v>
      </c>
      <c r="BA395" s="1093">
        <f t="shared" si="370"/>
        <v>56.13659345778175</v>
      </c>
      <c r="BB395" s="1093">
        <f t="shared" si="370"/>
        <v>56.192064244596658</v>
      </c>
      <c r="BC395" s="1093">
        <f t="shared" si="370"/>
        <v>56.247132051954509</v>
      </c>
      <c r="BD395" s="1093">
        <f t="shared" si="370"/>
        <v>56.304592095857863</v>
      </c>
      <c r="BE395" s="1093">
        <f t="shared" si="370"/>
        <v>56.36360814028248</v>
      </c>
      <c r="BF395" s="1093">
        <f t="shared" si="370"/>
        <v>56.424632230277425</v>
      </c>
      <c r="BG395" s="1093">
        <f t="shared" si="370"/>
        <v>56.489858776592435</v>
      </c>
      <c r="BH395" s="1093">
        <f t="shared" si="370"/>
        <v>56.55880865620589</v>
      </c>
      <c r="BI395" s="1093">
        <f t="shared" si="370"/>
        <v>56.631680430225074</v>
      </c>
      <c r="BJ395" s="1093">
        <f t="shared" si="370"/>
        <v>56.706816824986689</v>
      </c>
      <c r="BK395" s="1093">
        <f t="shared" si="370"/>
        <v>56.784960449688725</v>
      </c>
      <c r="BL395" s="1093">
        <f t="shared" si="370"/>
        <v>56.865700243903213</v>
      </c>
      <c r="BM395" s="1093">
        <f t="shared" si="370"/>
        <v>56.950169761195866</v>
      </c>
      <c r="BN395" s="1093">
        <f t="shared" si="370"/>
        <v>57.039949739754213</v>
      </c>
      <c r="BO395" s="1093">
        <f t="shared" si="370"/>
        <v>57.134221174026919</v>
      </c>
      <c r="BP395" s="1093">
        <f t="shared" si="370"/>
        <v>57.234655108072275</v>
      </c>
      <c r="BQ395" s="1093">
        <f t="shared" si="370"/>
        <v>57.340166996487035</v>
      </c>
      <c r="BR395" s="1093">
        <f t="shared" si="370"/>
        <v>57.450725477659375</v>
      </c>
      <c r="BS395" s="1093">
        <f t="shared" ref="BS395:CI395" si="371">BS317-BS328</f>
        <v>57.563499869040221</v>
      </c>
      <c r="BT395" s="1093">
        <f t="shared" si="371"/>
        <v>57.6794360107301</v>
      </c>
      <c r="BU395" s="1093">
        <f t="shared" si="371"/>
        <v>57.798180239794931</v>
      </c>
      <c r="BV395" s="1093">
        <f t="shared" si="371"/>
        <v>57.920458919991937</v>
      </c>
      <c r="BW395" s="1093">
        <f t="shared" si="371"/>
        <v>58.043335645110623</v>
      </c>
      <c r="BX395" s="1093">
        <f t="shared" si="371"/>
        <v>58.168127473296948</v>
      </c>
      <c r="BY395" s="1093">
        <f t="shared" si="371"/>
        <v>58.294679144406494</v>
      </c>
      <c r="BZ395" s="1093">
        <f t="shared" si="371"/>
        <v>58.423616762085395</v>
      </c>
      <c r="CA395" s="1093">
        <f t="shared" si="371"/>
        <v>58.55331784357184</v>
      </c>
      <c r="CB395" s="1093">
        <f t="shared" si="371"/>
        <v>58.683988240954207</v>
      </c>
      <c r="CC395" s="1093">
        <f t="shared" si="371"/>
        <v>58.813363403547946</v>
      </c>
      <c r="CD395" s="1093">
        <f t="shared" si="371"/>
        <v>58.943239455509179</v>
      </c>
      <c r="CE395" s="1093">
        <f t="shared" si="371"/>
        <v>59.071999726930002</v>
      </c>
      <c r="CF395" s="1093">
        <f t="shared" si="371"/>
        <v>59.199543402217294</v>
      </c>
      <c r="CG395" s="1093">
        <f t="shared" si="371"/>
        <v>59.324708200895117</v>
      </c>
      <c r="CH395" s="1093">
        <f t="shared" si="371"/>
        <v>59.448118466980986</v>
      </c>
      <c r="CI395" s="1094">
        <f t="shared" si="371"/>
        <v>59.569023274000017</v>
      </c>
    </row>
    <row r="396" spans="2:87" x14ac:dyDescent="0.35">
      <c r="B396" s="1088"/>
      <c r="C396" s="1089" t="s">
        <v>640</v>
      </c>
      <c r="D396" s="1089"/>
      <c r="E396" s="1089" t="s">
        <v>305</v>
      </c>
      <c r="F396" s="1089">
        <v>2</v>
      </c>
      <c r="G396" s="1093">
        <f t="shared" ref="G396:AL396" si="372">G318-G329</f>
        <v>21.35</v>
      </c>
      <c r="H396" s="1093">
        <f t="shared" si="372"/>
        <v>20.94</v>
      </c>
      <c r="I396" s="1093">
        <f t="shared" si="372"/>
        <v>21.031296999999999</v>
      </c>
      <c r="J396" s="1093">
        <f t="shared" si="372"/>
        <v>19.817300630000002</v>
      </c>
      <c r="K396" s="1093">
        <f t="shared" si="372"/>
        <v>18.61731112</v>
      </c>
      <c r="L396" s="1093">
        <f t="shared" si="372"/>
        <v>17.471758010000002</v>
      </c>
      <c r="M396" s="1093">
        <f t="shared" si="372"/>
        <v>16.348394511818178</v>
      </c>
      <c r="N396" s="1093">
        <f t="shared" si="372"/>
        <v>15.224779543636364</v>
      </c>
      <c r="O396" s="1093">
        <f t="shared" si="372"/>
        <v>14.102598075454537</v>
      </c>
      <c r="P396" s="1093">
        <f t="shared" si="372"/>
        <v>12.98145651727272</v>
      </c>
      <c r="Q396" s="1093">
        <f t="shared" si="372"/>
        <v>11.860700299090899</v>
      </c>
      <c r="R396" s="1093">
        <f t="shared" si="372"/>
        <v>10.744332920909079</v>
      </c>
      <c r="S396" s="1093">
        <f t="shared" si="372"/>
        <v>9.6277312427272594</v>
      </c>
      <c r="T396" s="1093">
        <f t="shared" si="372"/>
        <v>8.51155720454544</v>
      </c>
      <c r="U396" s="1093">
        <f t="shared" si="372"/>
        <v>7.3966230363636205</v>
      </c>
      <c r="V396" s="1093">
        <f t="shared" si="372"/>
        <v>6.2830771481818015</v>
      </c>
      <c r="W396" s="1093">
        <f t="shared" si="372"/>
        <v>5.1019411399999779</v>
      </c>
      <c r="X396" s="1093">
        <f t="shared" si="372"/>
        <v>5.0464730699999798</v>
      </c>
      <c r="Y396" s="1093">
        <f t="shared" si="372"/>
        <v>4.9926450299999789</v>
      </c>
      <c r="Z396" s="1093">
        <f t="shared" si="372"/>
        <v>4.9407852099999783</v>
      </c>
      <c r="AA396" s="1093">
        <f t="shared" si="372"/>
        <v>4.8897684899999785</v>
      </c>
      <c r="AB396" s="1093">
        <f t="shared" si="372"/>
        <v>4.8401445769999789</v>
      </c>
      <c r="AC396" s="1093">
        <f t="shared" si="372"/>
        <v>4.792035997999978</v>
      </c>
      <c r="AD396" s="1093">
        <f t="shared" si="372"/>
        <v>4.7453456499999795</v>
      </c>
      <c r="AE396" s="1093">
        <f t="shared" si="372"/>
        <v>4.7000847649999802</v>
      </c>
      <c r="AF396" s="1093">
        <f t="shared" si="372"/>
        <v>4.6560264949999794</v>
      </c>
      <c r="AG396" s="1093">
        <f t="shared" si="372"/>
        <v>4.6129961419999788</v>
      </c>
      <c r="AH396" s="1093">
        <f t="shared" si="372"/>
        <v>4.5710925789999788</v>
      </c>
      <c r="AI396" s="1093">
        <f t="shared" si="372"/>
        <v>4.5304035189999787</v>
      </c>
      <c r="AJ396" s="1093">
        <f t="shared" si="372"/>
        <v>4.49082081799998</v>
      </c>
      <c r="AK396" s="1093">
        <f t="shared" si="372"/>
        <v>4.4522223629999793</v>
      </c>
      <c r="AL396" s="1093">
        <f t="shared" si="372"/>
        <v>4.4169026799999784</v>
      </c>
      <c r="AM396" s="1093">
        <f t="shared" ref="AM396:BR396" si="373">AM318-AM329</f>
        <v>4.382521371999978</v>
      </c>
      <c r="AN396" s="1093">
        <f t="shared" si="373"/>
        <v>4.3489830309999782</v>
      </c>
      <c r="AO396" s="1093">
        <f t="shared" si="373"/>
        <v>4.3162598949999786</v>
      </c>
      <c r="AP396" s="1093">
        <f t="shared" si="373"/>
        <v>4.2842932339999784</v>
      </c>
      <c r="AQ396" s="1093">
        <f t="shared" si="373"/>
        <v>4.2530089959999797</v>
      </c>
      <c r="AR396" s="1093">
        <f t="shared" si="373"/>
        <v>4.2225259789999789</v>
      </c>
      <c r="AS396" s="1093">
        <f t="shared" si="373"/>
        <v>4.1928949679999796</v>
      </c>
      <c r="AT396" s="1093">
        <f t="shared" si="373"/>
        <v>4.1640331649999798</v>
      </c>
      <c r="AU396" s="1093">
        <f t="shared" si="373"/>
        <v>4.1358528809999804</v>
      </c>
      <c r="AV396" s="1093">
        <f t="shared" si="373"/>
        <v>4.1083555809999801</v>
      </c>
      <c r="AW396" s="1093">
        <f t="shared" si="373"/>
        <v>4.0815505499999807</v>
      </c>
      <c r="AX396" s="1093">
        <f t="shared" si="373"/>
        <v>4.0553939569999802</v>
      </c>
      <c r="AY396" s="1093">
        <f t="shared" si="373"/>
        <v>4.0298347609999796</v>
      </c>
      <c r="AZ396" s="1093">
        <f t="shared" si="373"/>
        <v>4.0048653239999794</v>
      </c>
      <c r="BA396" s="1093">
        <f t="shared" si="373"/>
        <v>3.9804806189999793</v>
      </c>
      <c r="BB396" s="1093">
        <f t="shared" si="373"/>
        <v>3.9567218229999792</v>
      </c>
      <c r="BC396" s="1093">
        <f t="shared" si="373"/>
        <v>3.9335756479999793</v>
      </c>
      <c r="BD396" s="1093">
        <f t="shared" si="373"/>
        <v>3.9109991849999792</v>
      </c>
      <c r="BE396" s="1093">
        <f t="shared" si="373"/>
        <v>3.888975965999979</v>
      </c>
      <c r="BF396" s="1093">
        <f t="shared" si="373"/>
        <v>3.8674902089999792</v>
      </c>
      <c r="BG396" s="1093">
        <f t="shared" si="373"/>
        <v>3.8465415219999795</v>
      </c>
      <c r="BH396" s="1093">
        <f t="shared" si="373"/>
        <v>3.8261045759999801</v>
      </c>
      <c r="BI396" s="1093">
        <f t="shared" si="373"/>
        <v>3.8061844259999793</v>
      </c>
      <c r="BJ396" s="1093">
        <f t="shared" si="373"/>
        <v>3.7867790109999788</v>
      </c>
      <c r="BK396" s="1093">
        <f t="shared" si="373"/>
        <v>3.7678479559999793</v>
      </c>
      <c r="BL396" s="1093">
        <f t="shared" si="373"/>
        <v>3.7494136219999792</v>
      </c>
      <c r="BM396" s="1093">
        <f t="shared" si="373"/>
        <v>3.7314490889999794</v>
      </c>
      <c r="BN396" s="1093">
        <f t="shared" si="373"/>
        <v>3.7139135779999792</v>
      </c>
      <c r="BO396" s="1093">
        <f t="shared" si="373"/>
        <v>3.6968060289999789</v>
      </c>
      <c r="BP396" s="1093">
        <f t="shared" si="373"/>
        <v>3.6800819129999791</v>
      </c>
      <c r="BQ396" s="1093">
        <f t="shared" si="373"/>
        <v>3.6637476619999791</v>
      </c>
      <c r="BR396" s="1093">
        <f t="shared" si="373"/>
        <v>3.6477965969999788</v>
      </c>
      <c r="BS396" s="1093">
        <f t="shared" ref="BS396:CI396" si="374">BS318-BS329</f>
        <v>3.632237165999979</v>
      </c>
      <c r="BT396" s="1093">
        <f t="shared" si="374"/>
        <v>3.6170496909999788</v>
      </c>
      <c r="BU396" s="1093">
        <f t="shared" si="374"/>
        <v>3.6022155539999794</v>
      </c>
      <c r="BV396" s="1093">
        <f t="shared" si="374"/>
        <v>3.5877295219999787</v>
      </c>
      <c r="BW396" s="1093">
        <f t="shared" si="374"/>
        <v>3.5735917029999795</v>
      </c>
      <c r="BX396" s="1093">
        <f t="shared" si="374"/>
        <v>3.559783020999979</v>
      </c>
      <c r="BY396" s="1093">
        <f t="shared" si="374"/>
        <v>3.5462906419999793</v>
      </c>
      <c r="BZ396" s="1093">
        <f t="shared" si="374"/>
        <v>3.5330931979999791</v>
      </c>
      <c r="CA396" s="1093">
        <f t="shared" si="374"/>
        <v>3.5202064639999788</v>
      </c>
      <c r="CB396" s="1093">
        <f t="shared" si="374"/>
        <v>3.5076242709999788</v>
      </c>
      <c r="CC396" s="1093">
        <f t="shared" si="374"/>
        <v>3.4953596899999795</v>
      </c>
      <c r="CD396" s="1093">
        <f t="shared" si="374"/>
        <v>3.4833813489999796</v>
      </c>
      <c r="CE396" s="1093">
        <f t="shared" si="374"/>
        <v>3.471684081999979</v>
      </c>
      <c r="CF396" s="1093">
        <f t="shared" si="374"/>
        <v>3.4602675439999784</v>
      </c>
      <c r="CG396" s="1093">
        <f t="shared" si="374"/>
        <v>3.4491438429999786</v>
      </c>
      <c r="CH396" s="1093">
        <f t="shared" si="374"/>
        <v>3.4382996059999789</v>
      </c>
      <c r="CI396" s="1094">
        <f t="shared" si="374"/>
        <v>3.4277216689999799</v>
      </c>
    </row>
    <row r="397" spans="2:87" x14ac:dyDescent="0.35">
      <c r="B397" s="1088"/>
      <c r="C397" s="1089" t="s">
        <v>641</v>
      </c>
      <c r="D397" s="1089"/>
      <c r="E397" s="1089" t="s">
        <v>305</v>
      </c>
      <c r="F397" s="1089">
        <v>2</v>
      </c>
      <c r="G397" s="1093">
        <f>G314+G316-G326-G327</f>
        <v>22.470000000000002</v>
      </c>
      <c r="H397" s="1093">
        <f t="shared" ref="H397:BS397" si="375">H314+H316-H326-H327</f>
        <v>23.903559690000005</v>
      </c>
      <c r="I397" s="1093">
        <f t="shared" si="375"/>
        <v>24.547230610000003</v>
      </c>
      <c r="J397" s="1093">
        <f t="shared" si="375"/>
        <v>25.587165660000004</v>
      </c>
      <c r="K397" s="1093">
        <f t="shared" si="375"/>
        <v>26.848108380000003</v>
      </c>
      <c r="L397" s="1093">
        <f t="shared" si="375"/>
        <v>27.821185670000002</v>
      </c>
      <c r="M397" s="1093">
        <f t="shared" si="375"/>
        <v>27.999952140000001</v>
      </c>
      <c r="N397" s="1093">
        <f t="shared" si="375"/>
        <v>28.197201370000002</v>
      </c>
      <c r="O397" s="1093">
        <f t="shared" si="375"/>
        <v>28.390065119999999</v>
      </c>
      <c r="P397" s="1093">
        <f t="shared" si="375"/>
        <v>28.528994180000002</v>
      </c>
      <c r="Q397" s="1093">
        <f t="shared" si="375"/>
        <v>28.622555440000003</v>
      </c>
      <c r="R397" s="1093">
        <f t="shared" si="375"/>
        <v>28.851617170000001</v>
      </c>
      <c r="S397" s="1093">
        <f t="shared" si="375"/>
        <v>29.029802210000003</v>
      </c>
      <c r="T397" s="1093">
        <f t="shared" si="375"/>
        <v>29.175029350000003</v>
      </c>
      <c r="U397" s="1093">
        <f t="shared" si="375"/>
        <v>29.367928450000004</v>
      </c>
      <c r="V397" s="1093">
        <f t="shared" si="375"/>
        <v>29.493209850000007</v>
      </c>
      <c r="W397" s="1093">
        <f t="shared" si="375"/>
        <v>29.977829460000002</v>
      </c>
      <c r="X397" s="1093">
        <f t="shared" si="375"/>
        <v>30.470517380000004</v>
      </c>
      <c r="Y397" s="1093">
        <f t="shared" si="375"/>
        <v>30.939892590000007</v>
      </c>
      <c r="Z397" s="1093">
        <f t="shared" si="375"/>
        <v>31.372552450000008</v>
      </c>
      <c r="AA397" s="1093">
        <f t="shared" si="375"/>
        <v>31.449511984000001</v>
      </c>
      <c r="AB397" s="1093">
        <f t="shared" si="375"/>
        <v>31.526471519000005</v>
      </c>
      <c r="AC397" s="1093">
        <f t="shared" si="375"/>
        <v>31.603431053000005</v>
      </c>
      <c r="AD397" s="1093">
        <f t="shared" si="375"/>
        <v>31.680390588000002</v>
      </c>
      <c r="AE397" s="1093">
        <f t="shared" si="375"/>
        <v>31.757350122000002</v>
      </c>
      <c r="AF397" s="1093">
        <f t="shared" si="375"/>
        <v>31.834309657000002</v>
      </c>
      <c r="AG397" s="1093">
        <f t="shared" si="375"/>
        <v>31.911269190999999</v>
      </c>
      <c r="AH397" s="1093">
        <f t="shared" si="375"/>
        <v>31.988228725999999</v>
      </c>
      <c r="AI397" s="1093">
        <f t="shared" si="375"/>
        <v>32.065188259999999</v>
      </c>
      <c r="AJ397" s="1093">
        <f t="shared" si="375"/>
        <v>32.142147794999993</v>
      </c>
      <c r="AK397" s="1093">
        <f t="shared" si="375"/>
        <v>32.219107328999996</v>
      </c>
      <c r="AL397" s="1093">
        <f t="shared" si="375"/>
        <v>32.296066863999997</v>
      </c>
      <c r="AM397" s="1093">
        <f t="shared" si="375"/>
        <v>32.373026398</v>
      </c>
      <c r="AN397" s="1093">
        <f t="shared" si="375"/>
        <v>32.449985932999994</v>
      </c>
      <c r="AO397" s="1093">
        <f t="shared" si="375"/>
        <v>32.526945466999997</v>
      </c>
      <c r="AP397" s="1093">
        <f t="shared" si="375"/>
        <v>32.603905001000001</v>
      </c>
      <c r="AQ397" s="1093">
        <f t="shared" si="375"/>
        <v>32.680864535999994</v>
      </c>
      <c r="AR397" s="1093">
        <f t="shared" si="375"/>
        <v>32.757824069999998</v>
      </c>
      <c r="AS397" s="1093">
        <f t="shared" si="375"/>
        <v>32.834783604999998</v>
      </c>
      <c r="AT397" s="1093">
        <f t="shared" si="375"/>
        <v>32.911743138999995</v>
      </c>
      <c r="AU397" s="1093">
        <f t="shared" si="375"/>
        <v>32.988702683999996</v>
      </c>
      <c r="AV397" s="1093">
        <f t="shared" si="375"/>
        <v>33.065662218</v>
      </c>
      <c r="AW397" s="1093">
        <f t="shared" si="375"/>
        <v>33.142621752999993</v>
      </c>
      <c r="AX397" s="1093">
        <f t="shared" si="375"/>
        <v>33.219581286999997</v>
      </c>
      <c r="AY397" s="1093">
        <f t="shared" si="375"/>
        <v>33.296540821999997</v>
      </c>
      <c r="AZ397" s="1093">
        <f t="shared" si="375"/>
        <v>33.373500355999994</v>
      </c>
      <c r="BA397" s="1093">
        <f t="shared" si="375"/>
        <v>33.450459890999994</v>
      </c>
      <c r="BB397" s="1093">
        <f t="shared" si="375"/>
        <v>33.527419424999998</v>
      </c>
      <c r="BC397" s="1093">
        <f t="shared" si="375"/>
        <v>33.604378959000002</v>
      </c>
      <c r="BD397" s="1093">
        <f t="shared" si="375"/>
        <v>33.681338493999995</v>
      </c>
      <c r="BE397" s="1093">
        <f t="shared" si="375"/>
        <v>33.758298027999999</v>
      </c>
      <c r="BF397" s="1093">
        <f t="shared" si="375"/>
        <v>33.835257562999999</v>
      </c>
      <c r="BG397" s="1093">
        <f t="shared" si="375"/>
        <v>33.912217096999996</v>
      </c>
      <c r="BH397" s="1093">
        <f t="shared" si="375"/>
        <v>33.989176631999996</v>
      </c>
      <c r="BI397" s="1093">
        <f t="shared" si="375"/>
        <v>34.066136166</v>
      </c>
      <c r="BJ397" s="1093">
        <f t="shared" si="375"/>
        <v>34.143095700999993</v>
      </c>
      <c r="BK397" s="1093">
        <f t="shared" si="375"/>
        <v>34.220055234999997</v>
      </c>
      <c r="BL397" s="1093">
        <f t="shared" si="375"/>
        <v>34.297014769999997</v>
      </c>
      <c r="BM397" s="1093">
        <f t="shared" si="375"/>
        <v>34.373974304000001</v>
      </c>
      <c r="BN397" s="1093">
        <f t="shared" si="375"/>
        <v>34.450933838999994</v>
      </c>
      <c r="BO397" s="1093">
        <f t="shared" si="375"/>
        <v>34.527893372999998</v>
      </c>
      <c r="BP397" s="1093">
        <f t="shared" si="375"/>
        <v>34.604852907999998</v>
      </c>
      <c r="BQ397" s="1093">
        <f t="shared" si="375"/>
        <v>34.681812441999995</v>
      </c>
      <c r="BR397" s="1093">
        <f t="shared" si="375"/>
        <v>34.758771975999998</v>
      </c>
      <c r="BS397" s="1093">
        <f t="shared" si="375"/>
        <v>34.835731510999999</v>
      </c>
      <c r="BT397" s="1093">
        <f t="shared" ref="BT397:CI397" si="376">BT314+BT316-BT326-BT327</f>
        <v>34.912691044999995</v>
      </c>
      <c r="BU397" s="1093">
        <f t="shared" si="376"/>
        <v>34.989650579999996</v>
      </c>
      <c r="BV397" s="1093">
        <f t="shared" si="376"/>
        <v>35.066610113999999</v>
      </c>
      <c r="BW397" s="1093">
        <f t="shared" si="376"/>
        <v>35.143569649</v>
      </c>
      <c r="BX397" s="1093">
        <f t="shared" si="376"/>
        <v>35.220529182999996</v>
      </c>
      <c r="BY397" s="1093">
        <f t="shared" si="376"/>
        <v>35.297488717999997</v>
      </c>
      <c r="BZ397" s="1093">
        <f t="shared" si="376"/>
        <v>35.374448252000001</v>
      </c>
      <c r="CA397" s="1093">
        <f t="shared" si="376"/>
        <v>35.451407786999994</v>
      </c>
      <c r="CB397" s="1093">
        <f t="shared" si="376"/>
        <v>35.528367320999998</v>
      </c>
      <c r="CC397" s="1093">
        <f t="shared" si="376"/>
        <v>35.605326855999998</v>
      </c>
      <c r="CD397" s="1093">
        <f t="shared" si="376"/>
        <v>35.682286389999994</v>
      </c>
      <c r="CE397" s="1093">
        <f t="shared" si="376"/>
        <v>35.759245924999995</v>
      </c>
      <c r="CF397" s="1093">
        <f t="shared" si="376"/>
        <v>35.836205458999999</v>
      </c>
      <c r="CG397" s="1093">
        <f t="shared" si="376"/>
        <v>35.913164992999995</v>
      </c>
      <c r="CH397" s="1093">
        <f t="shared" si="376"/>
        <v>35.913164992999995</v>
      </c>
      <c r="CI397" s="1094">
        <f t="shared" si="376"/>
        <v>35.913164992999995</v>
      </c>
    </row>
    <row r="398" spans="2:87" x14ac:dyDescent="0.35">
      <c r="B398" s="1088"/>
      <c r="C398" s="1089" t="s">
        <v>390</v>
      </c>
      <c r="D398" s="1089"/>
      <c r="E398" s="1089" t="s">
        <v>305</v>
      </c>
      <c r="F398" s="1089">
        <v>2</v>
      </c>
      <c r="G398" s="1093">
        <f>G332</f>
        <v>13.5</v>
      </c>
      <c r="H398" s="1093">
        <f t="shared" ref="H398:BS398" si="377">H332</f>
        <v>13.5</v>
      </c>
      <c r="I398" s="1093">
        <f t="shared" si="377"/>
        <v>13.510000000000002</v>
      </c>
      <c r="J398" s="1093">
        <f t="shared" si="377"/>
        <v>13.510000000000002</v>
      </c>
      <c r="K398" s="1093">
        <f t="shared" si="377"/>
        <v>13.510000000000002</v>
      </c>
      <c r="L398" s="1093">
        <f t="shared" si="377"/>
        <v>13.2</v>
      </c>
      <c r="M398" s="1093">
        <f t="shared" si="377"/>
        <v>12.719999999999999</v>
      </c>
      <c r="N398" s="1093">
        <f t="shared" si="377"/>
        <v>12.240000000000002</v>
      </c>
      <c r="O398" s="1093">
        <f t="shared" si="377"/>
        <v>11.76</v>
      </c>
      <c r="P398" s="1093">
        <f t="shared" si="377"/>
        <v>11.280000000000001</v>
      </c>
      <c r="Q398" s="1093">
        <f t="shared" si="377"/>
        <v>10.8</v>
      </c>
      <c r="R398" s="1093">
        <f t="shared" si="377"/>
        <v>10.458</v>
      </c>
      <c r="S398" s="1093">
        <f t="shared" si="377"/>
        <v>10.116</v>
      </c>
      <c r="T398" s="1093">
        <f t="shared" si="377"/>
        <v>9.7740000000000009</v>
      </c>
      <c r="U398" s="1093">
        <f t="shared" si="377"/>
        <v>9.4320000000000004</v>
      </c>
      <c r="V398" s="1093">
        <f t="shared" si="377"/>
        <v>9.09</v>
      </c>
      <c r="W398" s="1093">
        <f t="shared" si="377"/>
        <v>8.7319999999999993</v>
      </c>
      <c r="X398" s="1093">
        <f t="shared" si="377"/>
        <v>8.3739999999999988</v>
      </c>
      <c r="Y398" s="1093">
        <f t="shared" si="377"/>
        <v>8.016</v>
      </c>
      <c r="Z398" s="1093">
        <f t="shared" si="377"/>
        <v>7.6580000000000004</v>
      </c>
      <c r="AA398" s="1093">
        <f t="shared" si="377"/>
        <v>7.3</v>
      </c>
      <c r="AB398" s="1093">
        <f t="shared" si="377"/>
        <v>7.3</v>
      </c>
      <c r="AC398" s="1093">
        <f t="shared" si="377"/>
        <v>7.3</v>
      </c>
      <c r="AD398" s="1093">
        <f t="shared" si="377"/>
        <v>7.3</v>
      </c>
      <c r="AE398" s="1093">
        <f t="shared" si="377"/>
        <v>7.3</v>
      </c>
      <c r="AF398" s="1093">
        <f t="shared" si="377"/>
        <v>7.3</v>
      </c>
      <c r="AG398" s="1093">
        <f t="shared" si="377"/>
        <v>7.3</v>
      </c>
      <c r="AH398" s="1093">
        <f t="shared" si="377"/>
        <v>7.3</v>
      </c>
      <c r="AI398" s="1093">
        <f t="shared" si="377"/>
        <v>7.3</v>
      </c>
      <c r="AJ398" s="1093">
        <f t="shared" si="377"/>
        <v>7.3</v>
      </c>
      <c r="AK398" s="1093">
        <f t="shared" si="377"/>
        <v>7.3</v>
      </c>
      <c r="AL398" s="1093">
        <f t="shared" si="377"/>
        <v>7.3</v>
      </c>
      <c r="AM398" s="1093">
        <f t="shared" si="377"/>
        <v>7.3</v>
      </c>
      <c r="AN398" s="1093">
        <f t="shared" si="377"/>
        <v>7.3</v>
      </c>
      <c r="AO398" s="1093">
        <f t="shared" si="377"/>
        <v>7.3</v>
      </c>
      <c r="AP398" s="1093">
        <f t="shared" si="377"/>
        <v>7.3</v>
      </c>
      <c r="AQ398" s="1093">
        <f t="shared" si="377"/>
        <v>7.3</v>
      </c>
      <c r="AR398" s="1093">
        <f t="shared" si="377"/>
        <v>7.3</v>
      </c>
      <c r="AS398" s="1093">
        <f t="shared" si="377"/>
        <v>7.3</v>
      </c>
      <c r="AT398" s="1093">
        <f t="shared" si="377"/>
        <v>7.3</v>
      </c>
      <c r="AU398" s="1093">
        <f t="shared" si="377"/>
        <v>7.3</v>
      </c>
      <c r="AV398" s="1093">
        <f t="shared" si="377"/>
        <v>7.3</v>
      </c>
      <c r="AW398" s="1093">
        <f t="shared" si="377"/>
        <v>7.3</v>
      </c>
      <c r="AX398" s="1093">
        <f t="shared" si="377"/>
        <v>7.3</v>
      </c>
      <c r="AY398" s="1093">
        <f t="shared" si="377"/>
        <v>7.3</v>
      </c>
      <c r="AZ398" s="1093">
        <f t="shared" si="377"/>
        <v>7.3</v>
      </c>
      <c r="BA398" s="1093">
        <f t="shared" si="377"/>
        <v>7.3</v>
      </c>
      <c r="BB398" s="1093">
        <f t="shared" si="377"/>
        <v>7.3</v>
      </c>
      <c r="BC398" s="1093">
        <f t="shared" si="377"/>
        <v>7.3</v>
      </c>
      <c r="BD398" s="1093">
        <f t="shared" si="377"/>
        <v>7.3</v>
      </c>
      <c r="BE398" s="1093">
        <f t="shared" si="377"/>
        <v>7.3</v>
      </c>
      <c r="BF398" s="1093">
        <f t="shared" si="377"/>
        <v>7.3</v>
      </c>
      <c r="BG398" s="1093">
        <f t="shared" si="377"/>
        <v>7.3</v>
      </c>
      <c r="BH398" s="1093">
        <f t="shared" si="377"/>
        <v>7.3</v>
      </c>
      <c r="BI398" s="1093">
        <f t="shared" si="377"/>
        <v>7.3</v>
      </c>
      <c r="BJ398" s="1093">
        <f t="shared" si="377"/>
        <v>7.3</v>
      </c>
      <c r="BK398" s="1093">
        <f t="shared" si="377"/>
        <v>7.3</v>
      </c>
      <c r="BL398" s="1093">
        <f t="shared" si="377"/>
        <v>7.3</v>
      </c>
      <c r="BM398" s="1093">
        <f t="shared" si="377"/>
        <v>7.3</v>
      </c>
      <c r="BN398" s="1093">
        <f t="shared" si="377"/>
        <v>7.3</v>
      </c>
      <c r="BO398" s="1093">
        <f t="shared" si="377"/>
        <v>7.3</v>
      </c>
      <c r="BP398" s="1093">
        <f t="shared" si="377"/>
        <v>7.3</v>
      </c>
      <c r="BQ398" s="1093">
        <f t="shared" si="377"/>
        <v>7.3</v>
      </c>
      <c r="BR398" s="1093">
        <f t="shared" si="377"/>
        <v>7.3</v>
      </c>
      <c r="BS398" s="1093">
        <f t="shared" si="377"/>
        <v>7.3</v>
      </c>
      <c r="BT398" s="1093">
        <f t="shared" ref="BT398:CH398" si="378">BT332</f>
        <v>7.3</v>
      </c>
      <c r="BU398" s="1093">
        <f t="shared" si="378"/>
        <v>7.3</v>
      </c>
      <c r="BV398" s="1093">
        <f t="shared" si="378"/>
        <v>7.3</v>
      </c>
      <c r="BW398" s="1093">
        <f t="shared" si="378"/>
        <v>7.3</v>
      </c>
      <c r="BX398" s="1093">
        <f t="shared" si="378"/>
        <v>7.3</v>
      </c>
      <c r="BY398" s="1093">
        <f t="shared" si="378"/>
        <v>7.3</v>
      </c>
      <c r="BZ398" s="1093">
        <f t="shared" si="378"/>
        <v>7.3</v>
      </c>
      <c r="CA398" s="1093">
        <f t="shared" si="378"/>
        <v>7.3</v>
      </c>
      <c r="CB398" s="1093">
        <f t="shared" si="378"/>
        <v>7.3</v>
      </c>
      <c r="CC398" s="1093">
        <f t="shared" si="378"/>
        <v>7.3</v>
      </c>
      <c r="CD398" s="1093">
        <f t="shared" si="378"/>
        <v>7.3</v>
      </c>
      <c r="CE398" s="1093">
        <f t="shared" si="378"/>
        <v>7.3</v>
      </c>
      <c r="CF398" s="1093">
        <f t="shared" si="378"/>
        <v>7.3</v>
      </c>
      <c r="CG398" s="1093">
        <f t="shared" si="378"/>
        <v>7.3</v>
      </c>
      <c r="CH398" s="1093">
        <f t="shared" si="378"/>
        <v>7.3</v>
      </c>
      <c r="CI398" s="1094">
        <v>3.67</v>
      </c>
    </row>
    <row r="399" spans="2:87" x14ac:dyDescent="0.35">
      <c r="B399" s="1088"/>
      <c r="C399" s="1089" t="s">
        <v>642</v>
      </c>
      <c r="D399" s="1089"/>
      <c r="E399" s="1089" t="s">
        <v>305</v>
      </c>
      <c r="F399" s="1089">
        <v>2</v>
      </c>
      <c r="G399" s="1093">
        <f>G356-SUM(G395:G398)</f>
        <v>0.54000000000000625</v>
      </c>
      <c r="H399" s="1093">
        <f t="shared" ref="H399:BS399" si="379">H356-SUM(H395:H398)</f>
        <v>0.53999999999999204</v>
      </c>
      <c r="I399" s="1093">
        <f t="shared" si="379"/>
        <v>0.53999999999999204</v>
      </c>
      <c r="J399" s="1093">
        <f t="shared" si="379"/>
        <v>0.54000000000000625</v>
      </c>
      <c r="K399" s="1093">
        <f t="shared" si="379"/>
        <v>0.53999999999999204</v>
      </c>
      <c r="L399" s="1093">
        <f t="shared" si="379"/>
        <v>0.53999999999999204</v>
      </c>
      <c r="M399" s="1093">
        <f t="shared" si="379"/>
        <v>0.53999999999999204</v>
      </c>
      <c r="N399" s="1093">
        <f t="shared" si="379"/>
        <v>0.54000000000000625</v>
      </c>
      <c r="O399" s="1093">
        <f t="shared" si="379"/>
        <v>0.54000000000000625</v>
      </c>
      <c r="P399" s="1093">
        <f t="shared" si="379"/>
        <v>0.54000000000002046</v>
      </c>
      <c r="Q399" s="1093">
        <f t="shared" si="379"/>
        <v>0.54000000000000625</v>
      </c>
      <c r="R399" s="1093">
        <f t="shared" si="379"/>
        <v>0.54000000000000625</v>
      </c>
      <c r="S399" s="1093">
        <f t="shared" si="379"/>
        <v>0.54000000000000625</v>
      </c>
      <c r="T399" s="1093">
        <f t="shared" si="379"/>
        <v>0.54000000000000625</v>
      </c>
      <c r="U399" s="1093">
        <f t="shared" si="379"/>
        <v>0.54000000000000625</v>
      </c>
      <c r="V399" s="1093">
        <f t="shared" si="379"/>
        <v>0.54000000000000625</v>
      </c>
      <c r="W399" s="1093">
        <f t="shared" si="379"/>
        <v>0.54000000000000625</v>
      </c>
      <c r="X399" s="1093">
        <f t="shared" si="379"/>
        <v>0.54000000000000625</v>
      </c>
      <c r="Y399" s="1093">
        <f t="shared" si="379"/>
        <v>0.54000000000000625</v>
      </c>
      <c r="Z399" s="1093">
        <f t="shared" si="379"/>
        <v>0.54000000000000625</v>
      </c>
      <c r="AA399" s="1093">
        <f t="shared" si="379"/>
        <v>0.54000000000002046</v>
      </c>
      <c r="AB399" s="1093">
        <f t="shared" si="379"/>
        <v>0.54000000000000625</v>
      </c>
      <c r="AC399" s="1093">
        <f t="shared" si="379"/>
        <v>0.54000000000002046</v>
      </c>
      <c r="AD399" s="1093">
        <f t="shared" si="379"/>
        <v>0.54000000000000625</v>
      </c>
      <c r="AE399" s="1093">
        <f t="shared" si="379"/>
        <v>0.54000000000003467</v>
      </c>
      <c r="AF399" s="1093">
        <f t="shared" si="379"/>
        <v>0.54000000000003467</v>
      </c>
      <c r="AG399" s="1093">
        <f t="shared" si="379"/>
        <v>0.54000000000002046</v>
      </c>
      <c r="AH399" s="1093">
        <f t="shared" si="379"/>
        <v>0.54000000000002046</v>
      </c>
      <c r="AI399" s="1093">
        <f t="shared" si="379"/>
        <v>0.54000000000002046</v>
      </c>
      <c r="AJ399" s="1093">
        <f t="shared" si="379"/>
        <v>0.54000000000002046</v>
      </c>
      <c r="AK399" s="1093">
        <f t="shared" si="379"/>
        <v>0.54000000000003467</v>
      </c>
      <c r="AL399" s="1093">
        <f t="shared" si="379"/>
        <v>0.54000000000002046</v>
      </c>
      <c r="AM399" s="1093">
        <f t="shared" si="379"/>
        <v>0.54000000000003467</v>
      </c>
      <c r="AN399" s="1093">
        <f t="shared" si="379"/>
        <v>0.54000000000002046</v>
      </c>
      <c r="AO399" s="1093">
        <f t="shared" si="379"/>
        <v>0.54000000000000625</v>
      </c>
      <c r="AP399" s="1093">
        <f t="shared" si="379"/>
        <v>0.54000000000003467</v>
      </c>
      <c r="AQ399" s="1093">
        <f t="shared" si="379"/>
        <v>0.54000000000003467</v>
      </c>
      <c r="AR399" s="1093">
        <f t="shared" si="379"/>
        <v>0.54000000000002046</v>
      </c>
      <c r="AS399" s="1093">
        <f t="shared" si="379"/>
        <v>0.54000000000002046</v>
      </c>
      <c r="AT399" s="1093">
        <f t="shared" si="379"/>
        <v>0.54000000000002046</v>
      </c>
      <c r="AU399" s="1093">
        <f t="shared" si="379"/>
        <v>0.54000000000003467</v>
      </c>
      <c r="AV399" s="1093">
        <f t="shared" si="379"/>
        <v>0.54000000000002046</v>
      </c>
      <c r="AW399" s="1093">
        <f t="shared" si="379"/>
        <v>0.54000000000003467</v>
      </c>
      <c r="AX399" s="1093">
        <f t="shared" si="379"/>
        <v>0.54000000000003467</v>
      </c>
      <c r="AY399" s="1093">
        <f t="shared" si="379"/>
        <v>0.54000000000002046</v>
      </c>
      <c r="AZ399" s="1093">
        <f t="shared" si="379"/>
        <v>0.54000000000002046</v>
      </c>
      <c r="BA399" s="1093">
        <f t="shared" si="379"/>
        <v>0.54000000000003467</v>
      </c>
      <c r="BB399" s="1093">
        <f t="shared" si="379"/>
        <v>0.54000000000002046</v>
      </c>
      <c r="BC399" s="1093">
        <f t="shared" si="379"/>
        <v>0.54000000000000625</v>
      </c>
      <c r="BD399" s="1093">
        <f t="shared" si="379"/>
        <v>0.54000000000002046</v>
      </c>
      <c r="BE399" s="1093">
        <f t="shared" si="379"/>
        <v>0.54000000000002046</v>
      </c>
      <c r="BF399" s="1093">
        <f t="shared" si="379"/>
        <v>0.54000000000002046</v>
      </c>
      <c r="BG399" s="1093">
        <f t="shared" si="379"/>
        <v>0.54000000000000625</v>
      </c>
      <c r="BH399" s="1093">
        <f t="shared" si="379"/>
        <v>0.54000000000000625</v>
      </c>
      <c r="BI399" s="1093">
        <f t="shared" si="379"/>
        <v>0.54000000000003467</v>
      </c>
      <c r="BJ399" s="1093">
        <f t="shared" si="379"/>
        <v>0.54000000000002046</v>
      </c>
      <c r="BK399" s="1093">
        <f t="shared" si="379"/>
        <v>0.54000000000000625</v>
      </c>
      <c r="BL399" s="1093">
        <f t="shared" si="379"/>
        <v>0.54000000000002046</v>
      </c>
      <c r="BM399" s="1093">
        <f t="shared" si="379"/>
        <v>0.54000000000002046</v>
      </c>
      <c r="BN399" s="1093">
        <f t="shared" si="379"/>
        <v>0.54000000000003467</v>
      </c>
      <c r="BO399" s="1093">
        <f t="shared" si="379"/>
        <v>0.54000000000003467</v>
      </c>
      <c r="BP399" s="1093">
        <f t="shared" si="379"/>
        <v>0.54000000000003467</v>
      </c>
      <c r="BQ399" s="1093">
        <f t="shared" si="379"/>
        <v>0.54000000000002046</v>
      </c>
      <c r="BR399" s="1093">
        <f t="shared" si="379"/>
        <v>0.54000000000000625</v>
      </c>
      <c r="BS399" s="1093">
        <f t="shared" si="379"/>
        <v>0.54000000000002046</v>
      </c>
      <c r="BT399" s="1093">
        <f t="shared" ref="BT399:CH399" si="380">BT356-SUM(BT395:BT398)</f>
        <v>0.54000000000003467</v>
      </c>
      <c r="BU399" s="1093">
        <f t="shared" si="380"/>
        <v>0.54000000000000625</v>
      </c>
      <c r="BV399" s="1093">
        <f t="shared" si="380"/>
        <v>0.54000000000000625</v>
      </c>
      <c r="BW399" s="1093">
        <f t="shared" si="380"/>
        <v>0.54000000000000625</v>
      </c>
      <c r="BX399" s="1093">
        <f t="shared" si="380"/>
        <v>0.54000000000002046</v>
      </c>
      <c r="BY399" s="1093">
        <f t="shared" si="380"/>
        <v>0.54000000000002046</v>
      </c>
      <c r="BZ399" s="1093">
        <f t="shared" si="380"/>
        <v>0.54000000000002046</v>
      </c>
      <c r="CA399" s="1093">
        <f t="shared" si="380"/>
        <v>0.54000000000002046</v>
      </c>
      <c r="CB399" s="1093">
        <f t="shared" si="380"/>
        <v>0.54000000000003467</v>
      </c>
      <c r="CC399" s="1093">
        <f t="shared" si="380"/>
        <v>0.54000000000003467</v>
      </c>
      <c r="CD399" s="1093">
        <f t="shared" si="380"/>
        <v>0.54000000000002046</v>
      </c>
      <c r="CE399" s="1093">
        <f t="shared" si="380"/>
        <v>0.54000000000002046</v>
      </c>
      <c r="CF399" s="1093">
        <f t="shared" si="380"/>
        <v>0.54000000000003467</v>
      </c>
      <c r="CG399" s="1093">
        <f t="shared" si="380"/>
        <v>0.54000000000000625</v>
      </c>
      <c r="CH399" s="1093">
        <f t="shared" si="380"/>
        <v>0.54000000000003467</v>
      </c>
      <c r="CI399" s="1094">
        <v>5.71</v>
      </c>
    </row>
    <row r="400" spans="2:87" x14ac:dyDescent="0.35">
      <c r="B400" s="1088"/>
      <c r="C400" s="1089" t="s">
        <v>643</v>
      </c>
      <c r="D400" s="1089"/>
      <c r="E400" s="1089" t="s">
        <v>305</v>
      </c>
      <c r="F400" s="1089">
        <v>2</v>
      </c>
      <c r="G400" s="1093">
        <f>G313</f>
        <v>145.38</v>
      </c>
      <c r="H400" s="1093">
        <f t="shared" ref="H400:BS400" si="381">H313</f>
        <v>145.38</v>
      </c>
      <c r="I400" s="1093">
        <f t="shared" si="381"/>
        <v>145.38</v>
      </c>
      <c r="J400" s="1093">
        <f t="shared" si="381"/>
        <v>145.38</v>
      </c>
      <c r="K400" s="1093">
        <f t="shared" si="381"/>
        <v>145.38</v>
      </c>
      <c r="L400" s="1093">
        <f t="shared" si="381"/>
        <v>145.38</v>
      </c>
      <c r="M400" s="1093">
        <f t="shared" si="381"/>
        <v>132.82784733812949</v>
      </c>
      <c r="N400" s="1093">
        <f t="shared" si="381"/>
        <v>132.67994733812949</v>
      </c>
      <c r="O400" s="1093">
        <f t="shared" si="381"/>
        <v>132.17204733812949</v>
      </c>
      <c r="P400" s="1093">
        <f t="shared" si="381"/>
        <v>132.0241473381295</v>
      </c>
      <c r="Q400" s="1093">
        <f t="shared" si="381"/>
        <v>131.87624733812947</v>
      </c>
      <c r="R400" s="1093">
        <f t="shared" si="381"/>
        <v>125.23834733812949</v>
      </c>
      <c r="S400" s="1093">
        <f t="shared" si="381"/>
        <v>138.5704473381295</v>
      </c>
      <c r="T400" s="1093">
        <f t="shared" si="381"/>
        <v>139.4225473381295</v>
      </c>
      <c r="U400" s="1093">
        <f t="shared" si="381"/>
        <v>139.27464733812951</v>
      </c>
      <c r="V400" s="1093">
        <f t="shared" si="381"/>
        <v>139.12674733812952</v>
      </c>
      <c r="W400" s="1093">
        <f t="shared" si="381"/>
        <v>138.9788473381295</v>
      </c>
      <c r="X400" s="1093">
        <f t="shared" si="381"/>
        <v>156.8309473381295</v>
      </c>
      <c r="Y400" s="1093">
        <f t="shared" si="381"/>
        <v>156.68304733812951</v>
      </c>
      <c r="Z400" s="1093">
        <f t="shared" si="381"/>
        <v>156.53514733812952</v>
      </c>
      <c r="AA400" s="1093">
        <f t="shared" si="381"/>
        <v>156.3872473381295</v>
      </c>
      <c r="AB400" s="1093">
        <f t="shared" si="381"/>
        <v>131.35</v>
      </c>
      <c r="AC400" s="1093">
        <f t="shared" si="381"/>
        <v>131.35</v>
      </c>
      <c r="AD400" s="1093">
        <f t="shared" si="381"/>
        <v>131.35</v>
      </c>
      <c r="AE400" s="1093">
        <f t="shared" si="381"/>
        <v>131.35</v>
      </c>
      <c r="AF400" s="1093">
        <f t="shared" si="381"/>
        <v>131.35</v>
      </c>
      <c r="AG400" s="1093">
        <f t="shared" si="381"/>
        <v>131.35</v>
      </c>
      <c r="AH400" s="1093">
        <f t="shared" si="381"/>
        <v>131.35</v>
      </c>
      <c r="AI400" s="1093">
        <f t="shared" si="381"/>
        <v>131.35</v>
      </c>
      <c r="AJ400" s="1093">
        <f t="shared" si="381"/>
        <v>131.35</v>
      </c>
      <c r="AK400" s="1093">
        <f t="shared" si="381"/>
        <v>131.35</v>
      </c>
      <c r="AL400" s="1093">
        <f t="shared" si="381"/>
        <v>131.35</v>
      </c>
      <c r="AM400" s="1093">
        <f t="shared" si="381"/>
        <v>131.35</v>
      </c>
      <c r="AN400" s="1093">
        <f t="shared" si="381"/>
        <v>131.35</v>
      </c>
      <c r="AO400" s="1093">
        <f t="shared" si="381"/>
        <v>131.35</v>
      </c>
      <c r="AP400" s="1093">
        <f t="shared" si="381"/>
        <v>131.35</v>
      </c>
      <c r="AQ400" s="1093">
        <f t="shared" si="381"/>
        <v>131.35</v>
      </c>
      <c r="AR400" s="1093">
        <f t="shared" si="381"/>
        <v>131.35</v>
      </c>
      <c r="AS400" s="1093">
        <f t="shared" si="381"/>
        <v>131.35</v>
      </c>
      <c r="AT400" s="1093">
        <f t="shared" si="381"/>
        <v>131.35</v>
      </c>
      <c r="AU400" s="1093">
        <f t="shared" si="381"/>
        <v>131.35</v>
      </c>
      <c r="AV400" s="1093">
        <f t="shared" si="381"/>
        <v>131.35</v>
      </c>
      <c r="AW400" s="1093">
        <f t="shared" si="381"/>
        <v>131.35</v>
      </c>
      <c r="AX400" s="1093">
        <f t="shared" si="381"/>
        <v>131.35</v>
      </c>
      <c r="AY400" s="1093">
        <f t="shared" si="381"/>
        <v>131.35</v>
      </c>
      <c r="AZ400" s="1093">
        <f t="shared" si="381"/>
        <v>131.35</v>
      </c>
      <c r="BA400" s="1093">
        <f t="shared" si="381"/>
        <v>131.35</v>
      </c>
      <c r="BB400" s="1093">
        <f t="shared" si="381"/>
        <v>131.35</v>
      </c>
      <c r="BC400" s="1093">
        <f t="shared" si="381"/>
        <v>131.35</v>
      </c>
      <c r="BD400" s="1093">
        <f t="shared" si="381"/>
        <v>131.35</v>
      </c>
      <c r="BE400" s="1093">
        <f t="shared" si="381"/>
        <v>131.35</v>
      </c>
      <c r="BF400" s="1093">
        <f t="shared" si="381"/>
        <v>131.35</v>
      </c>
      <c r="BG400" s="1093">
        <f t="shared" si="381"/>
        <v>131.35</v>
      </c>
      <c r="BH400" s="1093">
        <f t="shared" si="381"/>
        <v>131.35</v>
      </c>
      <c r="BI400" s="1093">
        <f t="shared" si="381"/>
        <v>131.35</v>
      </c>
      <c r="BJ400" s="1093">
        <f t="shared" si="381"/>
        <v>131.35</v>
      </c>
      <c r="BK400" s="1093">
        <f t="shared" si="381"/>
        <v>131.35</v>
      </c>
      <c r="BL400" s="1093">
        <f t="shared" si="381"/>
        <v>131.35</v>
      </c>
      <c r="BM400" s="1093">
        <f t="shared" si="381"/>
        <v>131.35</v>
      </c>
      <c r="BN400" s="1093">
        <f t="shared" si="381"/>
        <v>131.35</v>
      </c>
      <c r="BO400" s="1093">
        <f t="shared" si="381"/>
        <v>131.35</v>
      </c>
      <c r="BP400" s="1093">
        <f t="shared" si="381"/>
        <v>131.35</v>
      </c>
      <c r="BQ400" s="1093">
        <f t="shared" si="381"/>
        <v>131.35</v>
      </c>
      <c r="BR400" s="1093">
        <f t="shared" si="381"/>
        <v>131.35</v>
      </c>
      <c r="BS400" s="1093">
        <f t="shared" si="381"/>
        <v>131.35</v>
      </c>
      <c r="BT400" s="1093">
        <f t="shared" ref="BT400:CI400" si="382">BT313</f>
        <v>131.35</v>
      </c>
      <c r="BU400" s="1093">
        <f t="shared" si="382"/>
        <v>131.35</v>
      </c>
      <c r="BV400" s="1093">
        <f t="shared" si="382"/>
        <v>131.35</v>
      </c>
      <c r="BW400" s="1093">
        <f t="shared" si="382"/>
        <v>131.35</v>
      </c>
      <c r="BX400" s="1093">
        <f t="shared" si="382"/>
        <v>131.35</v>
      </c>
      <c r="BY400" s="1093">
        <f t="shared" si="382"/>
        <v>131.35</v>
      </c>
      <c r="BZ400" s="1093">
        <f t="shared" si="382"/>
        <v>131.35</v>
      </c>
      <c r="CA400" s="1093">
        <f t="shared" si="382"/>
        <v>131.35</v>
      </c>
      <c r="CB400" s="1093">
        <f t="shared" si="382"/>
        <v>131.35</v>
      </c>
      <c r="CC400" s="1093">
        <f t="shared" si="382"/>
        <v>131.35</v>
      </c>
      <c r="CD400" s="1093">
        <f t="shared" si="382"/>
        <v>131.35</v>
      </c>
      <c r="CE400" s="1093">
        <f t="shared" si="382"/>
        <v>131.35</v>
      </c>
      <c r="CF400" s="1093">
        <f t="shared" si="382"/>
        <v>131.35</v>
      </c>
      <c r="CG400" s="1093">
        <f t="shared" si="382"/>
        <v>131.35</v>
      </c>
      <c r="CH400" s="1093">
        <f t="shared" si="382"/>
        <v>131.35</v>
      </c>
      <c r="CI400" s="1094">
        <f t="shared" si="382"/>
        <v>131.35</v>
      </c>
    </row>
    <row r="401" spans="2:87" x14ac:dyDescent="0.35">
      <c r="B401" s="1088"/>
      <c r="C401" s="1089" t="s">
        <v>644</v>
      </c>
      <c r="D401" s="1089"/>
      <c r="E401" s="1089" t="s">
        <v>305</v>
      </c>
      <c r="F401" s="1089">
        <v>2</v>
      </c>
      <c r="G401" s="1093">
        <f>SUM(G395:G399)+G359</f>
        <v>90.940000000000012</v>
      </c>
      <c r="H401" s="1093">
        <f t="shared" ref="H401:BS401" si="383">SUM(H395:H399)+H359</f>
        <v>92.983559690000007</v>
      </c>
      <c r="I401" s="1093">
        <f t="shared" si="383"/>
        <v>100.24366295</v>
      </c>
      <c r="J401" s="1093">
        <f t="shared" si="383"/>
        <v>104.96501184714751</v>
      </c>
      <c r="K401" s="1093">
        <f t="shared" si="383"/>
        <v>105.4945452745461</v>
      </c>
      <c r="L401" s="1093">
        <f t="shared" si="383"/>
        <v>104.4782110426579</v>
      </c>
      <c r="M401" s="1093">
        <f t="shared" si="383"/>
        <v>104.953446241893</v>
      </c>
      <c r="N401" s="1093">
        <f t="shared" si="383"/>
        <v>105.05791081986965</v>
      </c>
      <c r="O401" s="1093">
        <f t="shared" si="383"/>
        <v>105.30084601555053</v>
      </c>
      <c r="P401" s="1093">
        <f t="shared" si="383"/>
        <v>105.64901227155487</v>
      </c>
      <c r="Q401" s="1093">
        <f t="shared" si="383"/>
        <v>105.63947926998739</v>
      </c>
      <c r="R401" s="1093">
        <f t="shared" si="383"/>
        <v>104.43363213365559</v>
      </c>
      <c r="S401" s="1093">
        <f t="shared" si="383"/>
        <v>104.27602730533528</v>
      </c>
      <c r="T401" s="1093">
        <f t="shared" si="383"/>
        <v>104.05122884121852</v>
      </c>
      <c r="U401" s="1093">
        <f t="shared" si="383"/>
        <v>103.92751684248962</v>
      </c>
      <c r="V401" s="1093">
        <f t="shared" si="383"/>
        <v>103.58577190268961</v>
      </c>
      <c r="W401" s="1093">
        <f t="shared" si="383"/>
        <v>102.51704815337082</v>
      </c>
      <c r="X401" s="1093">
        <f t="shared" si="383"/>
        <v>102.48266656212824</v>
      </c>
      <c r="Y401" s="1093">
        <f t="shared" si="383"/>
        <v>102.37805870007678</v>
      </c>
      <c r="Z401" s="1093">
        <f t="shared" si="383"/>
        <v>102.31845649136542</v>
      </c>
      <c r="AA401" s="1093">
        <f t="shared" si="383"/>
        <v>102.16941822132985</v>
      </c>
      <c r="AB401" s="1093">
        <f t="shared" si="383"/>
        <v>101.49084485289356</v>
      </c>
      <c r="AC401" s="1093">
        <f t="shared" si="383"/>
        <v>101.30694070844014</v>
      </c>
      <c r="AD401" s="1093">
        <f t="shared" si="383"/>
        <v>101.09754692413601</v>
      </c>
      <c r="AE401" s="1093">
        <f t="shared" si="383"/>
        <v>101.22506364906616</v>
      </c>
      <c r="AF401" s="1093">
        <f t="shared" si="383"/>
        <v>100.95659724183308</v>
      </c>
      <c r="AG401" s="1093">
        <f t="shared" si="383"/>
        <v>101.2636393444234</v>
      </c>
      <c r="AH401" s="1093">
        <f t="shared" si="383"/>
        <v>101.32788223295663</v>
      </c>
      <c r="AI401" s="1093">
        <f t="shared" si="383"/>
        <v>101.38341725192086</v>
      </c>
      <c r="AJ401" s="1093">
        <f t="shared" si="383"/>
        <v>101.53861976872169</v>
      </c>
      <c r="AK401" s="1093">
        <f t="shared" si="383"/>
        <v>101.30617262021634</v>
      </c>
      <c r="AL401" s="1093">
        <f t="shared" si="383"/>
        <v>101.58005508280668</v>
      </c>
      <c r="AM401" s="1093">
        <f t="shared" si="383"/>
        <v>101.55994985724148</v>
      </c>
      <c r="AN401" s="1093">
        <f t="shared" si="383"/>
        <v>101.58052946690742</v>
      </c>
      <c r="AO401" s="1093">
        <f t="shared" si="383"/>
        <v>101.71839455687066</v>
      </c>
      <c r="AP401" s="1093">
        <f t="shared" si="383"/>
        <v>101.72370774042363</v>
      </c>
      <c r="AQ401" s="1093">
        <f t="shared" si="383"/>
        <v>101.96474209923154</v>
      </c>
      <c r="AR401" s="1093">
        <f t="shared" si="383"/>
        <v>102.00229207898808</v>
      </c>
      <c r="AS401" s="1093">
        <f t="shared" si="383"/>
        <v>102.06462216833252</v>
      </c>
      <c r="AT401" s="1093">
        <f t="shared" si="383"/>
        <v>102.26212171533967</v>
      </c>
      <c r="AU401" s="1093">
        <f t="shared" si="383"/>
        <v>102.25157833796405</v>
      </c>
      <c r="AV401" s="1093">
        <f t="shared" si="383"/>
        <v>102.33457746209942</v>
      </c>
      <c r="AW401" s="1093">
        <f t="shared" si="383"/>
        <v>102.33452821150559</v>
      </c>
      <c r="AX401" s="1093">
        <f t="shared" si="383"/>
        <v>102.38154877533498</v>
      </c>
      <c r="AY401" s="1093">
        <f t="shared" si="383"/>
        <v>102.64630799190782</v>
      </c>
      <c r="AZ401" s="1093">
        <f t="shared" si="383"/>
        <v>102.5088292047617</v>
      </c>
      <c r="BA401" s="1093">
        <f t="shared" si="383"/>
        <v>102.73680376836674</v>
      </c>
      <c r="BB401" s="1093">
        <f t="shared" si="383"/>
        <v>102.71589667166309</v>
      </c>
      <c r="BC401" s="1093">
        <f t="shared" si="383"/>
        <v>102.8627154492961</v>
      </c>
      <c r="BD401" s="1093">
        <f t="shared" si="383"/>
        <v>102.83302248426573</v>
      </c>
      <c r="BE401" s="1093">
        <f t="shared" si="383"/>
        <v>102.68082811582519</v>
      </c>
      <c r="BF401" s="1093">
        <f t="shared" si="383"/>
        <v>103.06675494996369</v>
      </c>
      <c r="BG401" s="1093">
        <f t="shared" si="383"/>
        <v>103.04380114384095</v>
      </c>
      <c r="BH401" s="1093">
        <f t="shared" si="383"/>
        <v>103.30859282328828</v>
      </c>
      <c r="BI401" s="1093">
        <f t="shared" si="383"/>
        <v>103.42664579942947</v>
      </c>
      <c r="BJ401" s="1093">
        <f t="shared" si="383"/>
        <v>103.28673311985402</v>
      </c>
      <c r="BK401" s="1093">
        <f t="shared" si="383"/>
        <v>103.68919704843397</v>
      </c>
      <c r="BL401" s="1093">
        <f t="shared" si="383"/>
        <v>103.56770514136252</v>
      </c>
      <c r="BM401" s="1093">
        <f t="shared" si="383"/>
        <v>103.68506464267335</v>
      </c>
      <c r="BN401" s="1093">
        <f t="shared" si="383"/>
        <v>103.85610910049792</v>
      </c>
      <c r="BO401" s="1093">
        <f t="shared" si="383"/>
        <v>104.11511309589872</v>
      </c>
      <c r="BP401" s="1093">
        <f t="shared" si="383"/>
        <v>104.24412382780316</v>
      </c>
      <c r="BQ401" s="1093">
        <f t="shared" si="383"/>
        <v>104.36646710690565</v>
      </c>
      <c r="BR401" s="1093">
        <f t="shared" si="383"/>
        <v>104.33133558466386</v>
      </c>
      <c r="BS401" s="1093">
        <f t="shared" si="383"/>
        <v>104.74145492449645</v>
      </c>
      <c r="BT401" s="1093">
        <f t="shared" ref="BT401:CI401" si="384">SUM(BT395:BT399)+BT359</f>
        <v>104.79089170255688</v>
      </c>
      <c r="BU401" s="1093">
        <f t="shared" si="384"/>
        <v>104.75740856431867</v>
      </c>
      <c r="BV401" s="1093">
        <f t="shared" si="384"/>
        <v>105.2178671868385</v>
      </c>
      <c r="BW401" s="1093">
        <f t="shared" si="384"/>
        <v>105.32078298041171</v>
      </c>
      <c r="BX401" s="1093">
        <f t="shared" si="384"/>
        <v>105.34213994208498</v>
      </c>
      <c r="BY401" s="1093">
        <f t="shared" si="384"/>
        <v>105.67479951727623</v>
      </c>
      <c r="BZ401" s="1093">
        <f t="shared" si="384"/>
        <v>105.98368608837133</v>
      </c>
      <c r="CA401" s="1093">
        <f t="shared" si="384"/>
        <v>106.1789370375067</v>
      </c>
      <c r="CB401" s="1093">
        <f t="shared" si="384"/>
        <v>106.28596429882266</v>
      </c>
      <c r="CC401" s="1093">
        <f t="shared" si="384"/>
        <v>106.4408162094757</v>
      </c>
      <c r="CD401" s="1093">
        <f t="shared" si="384"/>
        <v>106.44969678421636</v>
      </c>
      <c r="CE401" s="1093">
        <f t="shared" si="384"/>
        <v>106.81483328557169</v>
      </c>
      <c r="CF401" s="1093">
        <f t="shared" si="384"/>
        <v>106.91982421339492</v>
      </c>
      <c r="CG401" s="1093">
        <f t="shared" si="384"/>
        <v>107.17729233826357</v>
      </c>
      <c r="CH401" s="1093">
        <f t="shared" si="384"/>
        <v>107.21135036805219</v>
      </c>
      <c r="CI401" s="1094">
        <f t="shared" si="384"/>
        <v>109.0987620798041</v>
      </c>
    </row>
    <row r="402" spans="2:87" ht="14.5" thickBot="1" x14ac:dyDescent="0.4">
      <c r="B402" s="1095"/>
      <c r="C402" s="1096"/>
      <c r="D402" s="1096"/>
      <c r="E402" s="1096"/>
      <c r="F402" s="1096"/>
      <c r="G402" s="1096"/>
      <c r="H402" s="1096"/>
      <c r="I402" s="1096"/>
      <c r="J402" s="1096"/>
      <c r="K402" s="1096"/>
      <c r="L402" s="1096"/>
      <c r="M402" s="1096"/>
      <c r="N402" s="1096"/>
      <c r="O402" s="1096"/>
      <c r="P402" s="1096"/>
      <c r="Q402" s="1096"/>
      <c r="R402" s="1096"/>
      <c r="S402" s="1096"/>
      <c r="T402" s="1096"/>
      <c r="U402" s="1096"/>
      <c r="V402" s="1096"/>
      <c r="W402" s="1096"/>
      <c r="X402" s="1096"/>
      <c r="Y402" s="1096"/>
      <c r="Z402" s="1096"/>
      <c r="AA402" s="1096"/>
      <c r="AB402" s="1096"/>
      <c r="AC402" s="1096"/>
      <c r="AD402" s="1096"/>
      <c r="AE402" s="1096"/>
      <c r="AF402" s="1096"/>
      <c r="AG402" s="1096"/>
      <c r="AH402" s="1096"/>
      <c r="AI402" s="1096"/>
      <c r="AJ402" s="1096"/>
      <c r="AK402" s="1096"/>
      <c r="AL402" s="1096"/>
      <c r="AM402" s="1096"/>
      <c r="AN402" s="1096"/>
      <c r="AO402" s="1096"/>
      <c r="AP402" s="1096"/>
      <c r="AQ402" s="1096"/>
      <c r="AR402" s="1096"/>
      <c r="AS402" s="1096"/>
      <c r="AT402" s="1096"/>
      <c r="AU402" s="1096"/>
      <c r="AV402" s="1096"/>
      <c r="AW402" s="1096"/>
      <c r="AX402" s="1096"/>
      <c r="AY402" s="1096"/>
      <c r="AZ402" s="1096"/>
      <c r="BA402" s="1096"/>
      <c r="BB402" s="1096"/>
      <c r="BC402" s="1096"/>
      <c r="BD402" s="1096"/>
      <c r="BE402" s="1096"/>
      <c r="BF402" s="1096"/>
      <c r="BG402" s="1096"/>
      <c r="BH402" s="1096"/>
      <c r="BI402" s="1096"/>
      <c r="BJ402" s="1096"/>
      <c r="BK402" s="1096"/>
      <c r="BL402" s="1096"/>
      <c r="BM402" s="1096"/>
      <c r="BN402" s="1096"/>
      <c r="BO402" s="1096"/>
      <c r="BP402" s="1096"/>
      <c r="BQ402" s="1096"/>
      <c r="BR402" s="1096"/>
      <c r="BS402" s="1096"/>
      <c r="BT402" s="1096"/>
      <c r="BU402" s="1096"/>
      <c r="BV402" s="1096"/>
      <c r="BW402" s="1096"/>
      <c r="BX402" s="1096"/>
      <c r="BY402" s="1096"/>
      <c r="BZ402" s="1096"/>
      <c r="CA402" s="1096"/>
      <c r="CB402" s="1096"/>
      <c r="CC402" s="1096"/>
      <c r="CD402" s="1096"/>
      <c r="CE402" s="1096"/>
      <c r="CF402" s="1096"/>
      <c r="CG402" s="1096"/>
      <c r="CH402" s="1096"/>
      <c r="CI402" s="1097"/>
    </row>
  </sheetData>
  <conditionalFormatting sqref="B277 D277:E277 B280 D280:E280">
    <cfRule type="expression" dxfId="94" priority="60">
      <formula>"error.type(c3)=5"</formula>
    </cfRule>
    <cfRule type="expression" dxfId="93" priority="62">
      <formula>ISNA(B277)</formula>
    </cfRule>
    <cfRule type="expression" dxfId="92" priority="61">
      <formula>ERROR.TYPE(B277)=2</formula>
    </cfRule>
  </conditionalFormatting>
  <conditionalFormatting sqref="B282:B287 D282:E287">
    <cfRule type="expression" dxfId="91" priority="4">
      <formula>"error.type(c3)=5"</formula>
    </cfRule>
    <cfRule type="expression" dxfId="90" priority="5">
      <formula>ERROR.TYPE(B282)=2</formula>
    </cfRule>
    <cfRule type="expression" dxfId="89" priority="6">
      <formula>ISNA(B282)</formula>
    </cfRule>
  </conditionalFormatting>
  <conditionalFormatting sqref="B293 D293:E293 B299 D299:E299 B300:E300">
    <cfRule type="expression" dxfId="88" priority="111">
      <formula>"error.type(c3)=5"</formula>
    </cfRule>
    <cfRule type="expression" dxfId="87" priority="112">
      <formula>ERROR.TYPE(B293)=2</formula>
    </cfRule>
    <cfRule type="expression" dxfId="86" priority="113">
      <formula>ISNA(B293)</formula>
    </cfRule>
  </conditionalFormatting>
  <conditionalFormatting sqref="B95:E99">
    <cfRule type="expression" dxfId="85" priority="122">
      <formula>ISNA(B95)</formula>
    </cfRule>
    <cfRule type="expression" dxfId="84" priority="121">
      <formula>ERROR.TYPE(B95)=2</formula>
    </cfRule>
    <cfRule type="expression" dxfId="83" priority="120">
      <formula>"error.type(c3)=5"</formula>
    </cfRule>
  </conditionalFormatting>
  <conditionalFormatting sqref="B101:E106">
    <cfRule type="expression" dxfId="82" priority="9">
      <formula>ISNA(B101)</formula>
    </cfRule>
    <cfRule type="expression" dxfId="81" priority="7">
      <formula>"error.type(c3)=5"</formula>
    </cfRule>
    <cfRule type="expression" dxfId="80" priority="8">
      <formula>ERROR.TYPE(B101)=2</formula>
    </cfRule>
  </conditionalFormatting>
  <conditionalFormatting sqref="B112:E112 B118:E119 B276:E276 B278:E279">
    <cfRule type="expression" dxfId="79" priority="172">
      <formula>ERROR.TYPE(B112)=2</formula>
    </cfRule>
    <cfRule type="expression" dxfId="78" priority="173">
      <formula>ISNA(B112)</formula>
    </cfRule>
    <cfRule type="expression" dxfId="77" priority="171">
      <formula>"error.type(c3)=5"</formula>
    </cfRule>
  </conditionalFormatting>
  <conditionalFormatting sqref="C31">
    <cfRule type="expression" dxfId="76" priority="30">
      <formula>"error.type(c3)=5"</formula>
    </cfRule>
    <cfRule type="expression" dxfId="75" priority="31">
      <formula>ERROR.TYPE(C31)=2</formula>
    </cfRule>
    <cfRule type="expression" dxfId="74" priority="32">
      <formula>ISNA(C31)</formula>
    </cfRule>
  </conditionalFormatting>
  <conditionalFormatting sqref="C33:C40">
    <cfRule type="expression" dxfId="73" priority="152">
      <formula>ISNA(C33)</formula>
    </cfRule>
    <cfRule type="expression" dxfId="72" priority="151">
      <formula>ERROR.TYPE(C33)=2</formula>
    </cfRule>
    <cfRule type="expression" dxfId="71" priority="150">
      <formula>"error.type(c3)=5"</formula>
    </cfRule>
  </conditionalFormatting>
  <conditionalFormatting sqref="C45:C49">
    <cfRule type="expression" dxfId="70" priority="165">
      <formula>"error.type(c3)=5"</formula>
    </cfRule>
    <cfRule type="expression" dxfId="69" priority="166">
      <formula>ERROR.TYPE(C45)=2</formula>
    </cfRule>
    <cfRule type="expression" dxfId="68" priority="167">
      <formula>ISNA(C45)</formula>
    </cfRule>
  </conditionalFormatting>
  <conditionalFormatting sqref="C56:C59">
    <cfRule type="expression" dxfId="67" priority="161">
      <formula>ISNA(C56)</formula>
    </cfRule>
    <cfRule type="expression" dxfId="66" priority="159">
      <formula>"error.type(c3)=5"</formula>
    </cfRule>
    <cfRule type="expression" dxfId="65" priority="160">
      <formula>ERROR.TYPE(C56)=2</formula>
    </cfRule>
  </conditionalFormatting>
  <conditionalFormatting sqref="C64">
    <cfRule type="expression" dxfId="64" priority="157">
      <formula>ERROR.TYPE(C64)=2</formula>
    </cfRule>
    <cfRule type="expression" dxfId="63" priority="158">
      <formula>ISNA(C64)</formula>
    </cfRule>
    <cfRule type="expression" dxfId="62" priority="156">
      <formula>"error.type(c3)=5"</formula>
    </cfRule>
  </conditionalFormatting>
  <conditionalFormatting sqref="C78">
    <cfRule type="expression" dxfId="61" priority="154">
      <formula>ERROR.TYPE(C78)=2</formula>
    </cfRule>
    <cfRule type="expression" dxfId="60" priority="155">
      <formula>ISNA(C78)</formula>
    </cfRule>
    <cfRule type="expression" dxfId="59" priority="153">
      <formula>"error.type(c3)=5"</formula>
    </cfRule>
  </conditionalFormatting>
  <conditionalFormatting sqref="C128:C130">
    <cfRule type="expression" dxfId="58" priority="29">
      <formula>ISNA(C128)</formula>
    </cfRule>
    <cfRule type="expression" dxfId="57" priority="28">
      <formula>ERROR.TYPE(C128)=2</formula>
    </cfRule>
    <cfRule type="expression" dxfId="56" priority="27">
      <formula>"error.type(c3)=5"</formula>
    </cfRule>
  </conditionalFormatting>
  <conditionalFormatting sqref="C134:C139">
    <cfRule type="expression" dxfId="55" priority="20">
      <formula>ISNA(C134)</formula>
    </cfRule>
    <cfRule type="expression" dxfId="54" priority="19">
      <formula>ERROR.TYPE(C134)=2</formula>
    </cfRule>
    <cfRule type="expression" dxfId="53" priority="18">
      <formula>"error.type(c3)=5"</formula>
    </cfRule>
  </conditionalFormatting>
  <conditionalFormatting sqref="C146:C149">
    <cfRule type="expression" dxfId="52" priority="135">
      <formula>"error.type(c3)=5"</formula>
    </cfRule>
    <cfRule type="expression" dxfId="51" priority="136">
      <formula>ERROR.TYPE(C146)=2</formula>
    </cfRule>
    <cfRule type="expression" dxfId="50" priority="137">
      <formula>ISNA(C146)</formula>
    </cfRule>
  </conditionalFormatting>
  <conditionalFormatting sqref="C154">
    <cfRule type="expression" dxfId="49" priority="132">
      <formula>"error.type(c3)=5"</formula>
    </cfRule>
    <cfRule type="expression" dxfId="48" priority="134">
      <formula>ISNA(C154)</formula>
    </cfRule>
    <cfRule type="expression" dxfId="47" priority="133">
      <formula>ERROR.TYPE(C154)=2</formula>
    </cfRule>
  </conditionalFormatting>
  <conditionalFormatting sqref="C168">
    <cfRule type="expression" dxfId="46" priority="131">
      <formula>ISNA(C168)</formula>
    </cfRule>
    <cfRule type="expression" dxfId="45" priority="129">
      <formula>"error.type(c3)=5"</formula>
    </cfRule>
    <cfRule type="expression" dxfId="44" priority="130">
      <formula>ERROR.TYPE(C168)=2</formula>
    </cfRule>
  </conditionalFormatting>
  <conditionalFormatting sqref="C212">
    <cfRule type="expression" dxfId="43" priority="26">
      <formula>ISNA(C212)</formula>
    </cfRule>
    <cfRule type="expression" dxfId="42" priority="25">
      <formula>ERROR.TYPE(C212)=2</formula>
    </cfRule>
    <cfRule type="expression" dxfId="41" priority="24">
      <formula>"error.type(c3)=5"</formula>
    </cfRule>
  </conditionalFormatting>
  <conditionalFormatting sqref="C214:C221">
    <cfRule type="expression" dxfId="40" priority="38">
      <formula>ISNA(C214)</formula>
    </cfRule>
    <cfRule type="expression" dxfId="39" priority="37">
      <formula>ERROR.TYPE(C214)=2</formula>
    </cfRule>
    <cfRule type="expression" dxfId="38" priority="36">
      <formula>"error.type(c3)=5"</formula>
    </cfRule>
  </conditionalFormatting>
  <conditionalFormatting sqref="C225:C230">
    <cfRule type="expression" dxfId="37" priority="17">
      <formula>ISNA(C225)</formula>
    </cfRule>
    <cfRule type="expression" dxfId="36" priority="16">
      <formula>ERROR.TYPE(C225)=2</formula>
    </cfRule>
    <cfRule type="expression" dxfId="35" priority="15">
      <formula>"error.type(c3)=5"</formula>
    </cfRule>
  </conditionalFormatting>
  <conditionalFormatting sqref="C237:C240">
    <cfRule type="expression" dxfId="34" priority="101">
      <formula>ISNA(C237)</formula>
    </cfRule>
    <cfRule type="expression" dxfId="33" priority="99">
      <formula>"error.type(c3)=5"</formula>
    </cfRule>
    <cfRule type="expression" dxfId="32" priority="100">
      <formula>ERROR.TYPE(C237)=2</formula>
    </cfRule>
  </conditionalFormatting>
  <conditionalFormatting sqref="C245">
    <cfRule type="expression" dxfId="31" priority="97">
      <formula>ERROR.TYPE(C245)=2</formula>
    </cfRule>
    <cfRule type="expression" dxfId="30" priority="96">
      <formula>"error.type(c3)=5"</formula>
    </cfRule>
    <cfRule type="expression" dxfId="29" priority="98">
      <formula>ISNA(C245)</formula>
    </cfRule>
  </conditionalFormatting>
  <conditionalFormatting sqref="C259">
    <cfRule type="expression" dxfId="28" priority="94">
      <formula>ERROR.TYPE(C259)=2</formula>
    </cfRule>
    <cfRule type="expression" dxfId="27" priority="95">
      <formula>ISNA(C259)</formula>
    </cfRule>
    <cfRule type="expression" dxfId="26" priority="93">
      <formula>"error.type(c3)=5"</formula>
    </cfRule>
  </conditionalFormatting>
  <conditionalFormatting sqref="C277 C280">
    <cfRule type="expression" dxfId="25" priority="48">
      <formula>"error.type(c3)=5"</formula>
    </cfRule>
    <cfRule type="expression" dxfId="24" priority="49">
      <formula>ERROR.TYPE(C277)=2</formula>
    </cfRule>
    <cfRule type="expression" dxfId="23" priority="50">
      <formula>ISNA(C277)</formula>
    </cfRule>
  </conditionalFormatting>
  <conditionalFormatting sqref="C282:C287">
    <cfRule type="expression" dxfId="22" priority="1">
      <formula>"error.type(c3)=5"</formula>
    </cfRule>
    <cfRule type="expression" dxfId="21" priority="3">
      <formula>ISNA(C282)</formula>
    </cfRule>
    <cfRule type="expression" dxfId="20" priority="2">
      <formula>ERROR.TYPE(C282)=2</formula>
    </cfRule>
  </conditionalFormatting>
  <conditionalFormatting sqref="C293 C299">
    <cfRule type="expression" dxfId="19" priority="53">
      <formula>ISNA(C293)</formula>
    </cfRule>
    <cfRule type="expression" dxfId="18" priority="52">
      <formula>ERROR.TYPE(C293)=2</formula>
    </cfRule>
    <cfRule type="expression" dxfId="17" priority="51">
      <formula>"error.type(c3)=5"</formula>
    </cfRule>
  </conditionalFormatting>
  <conditionalFormatting sqref="C309:C311">
    <cfRule type="expression" dxfId="16" priority="23">
      <formula>ISNA(C309)</formula>
    </cfRule>
    <cfRule type="expression" dxfId="15" priority="22">
      <formula>ERROR.TYPE(C309)=2</formula>
    </cfRule>
    <cfRule type="expression" dxfId="14" priority="21">
      <formula>"error.type(c3)=5"</formula>
    </cfRule>
  </conditionalFormatting>
  <conditionalFormatting sqref="C315:C320">
    <cfRule type="expression" dxfId="13" priority="13">
      <formula>ERROR.TYPE(C315)=2</formula>
    </cfRule>
    <cfRule type="expression" dxfId="12" priority="14">
      <formula>ISNA(C315)</formula>
    </cfRule>
    <cfRule type="expression" dxfId="11" priority="12">
      <formula>"error.type(c3)=5"</formula>
    </cfRule>
  </conditionalFormatting>
  <conditionalFormatting sqref="C327:C330">
    <cfRule type="expression" dxfId="10" priority="77">
      <formula>ISNA(C327)</formula>
    </cfRule>
    <cfRule type="expression" dxfId="9" priority="75">
      <formula>"error.type(c3)=5"</formula>
    </cfRule>
    <cfRule type="expression" dxfId="8" priority="76">
      <formula>ERROR.TYPE(C327)=2</formula>
    </cfRule>
  </conditionalFormatting>
  <conditionalFormatting sqref="C335">
    <cfRule type="expression" dxfId="7" priority="72">
      <formula>"error.type(c3)=5"</formula>
    </cfRule>
    <cfRule type="expression" dxfId="6" priority="73">
      <formula>ERROR.TYPE(C335)=2</formula>
    </cfRule>
    <cfRule type="expression" dxfId="5" priority="74">
      <formula>ISNA(C335)</formula>
    </cfRule>
  </conditionalFormatting>
  <conditionalFormatting sqref="C349">
    <cfRule type="expression" dxfId="4" priority="71">
      <formula>ISNA(C349)</formula>
    </cfRule>
    <cfRule type="expression" dxfId="3" priority="70">
      <formula>ERROR.TYPE(C349)=2</formula>
    </cfRule>
    <cfRule type="expression" dxfId="2" priority="69">
      <formula>"error.type(c3)=5"</formula>
    </cfRule>
  </conditionalFormatting>
  <conditionalFormatting sqref="G28:CI29">
    <cfRule type="cellIs" dxfId="1" priority="10" operator="greaterThan">
      <formula>0</formula>
    </cfRule>
  </conditionalFormatting>
  <pageMargins left="0.7" right="0.7" top="0.75" bottom="0.75" header="0.3" footer="0.3"/>
  <pageSetup paperSize="9" orientation="portrait" r:id="rId1"/>
  <ignoredErrors>
    <ignoredError sqref="G213:L213" formulaRange="1"/>
  </ignoredErrors>
  <drawing r:id="rId2"/>
  <legacyDrawing r:id="rId3"/>
  <tableParts count="6">
    <tablePart r:id="rId4"/>
    <tablePart r:id="rId5"/>
    <tablePart r:id="rId6"/>
    <tablePart r:id="rId7"/>
    <tablePart r:id="rId8"/>
    <tablePart r:id="rId9"/>
  </tableParts>
  <extLst>
    <ext xmlns:x14="http://schemas.microsoft.com/office/spreadsheetml/2009/9/main" uri="{05C60535-1F16-4fd2-B633-F4F36F0B64E0}">
      <x14:sparklineGroups xmlns:xm="http://schemas.microsoft.com/office/excel/2006/main">
        <x14:sparklineGroup displayEmptyCellsAs="gap" high="1" low="1" negative="1" xr2:uid="{00000000-0003-0000-0200-000001000000}">
          <x14:colorSeries rgb="FF376092"/>
          <x14:colorNegative rgb="FFD00000"/>
          <x14:colorAxis rgb="FF000000"/>
          <x14:colorMarkers rgb="FFD00000"/>
          <x14:colorFirst rgb="FFD00000"/>
          <x14:colorLast rgb="FFD00000"/>
          <x14:colorHigh rgb="FFD00000"/>
          <x14:colorLow rgb="FFD00000"/>
          <x14:sparklines>
            <x14:sparkline>
              <xm:f>CAMCAM!G156:CS156</xm:f>
              <xm:sqref>F156</xm:sqref>
            </x14:sparkline>
            <x14:sparkline>
              <xm:f>CAMCAM!G157:CS157</xm:f>
              <xm:sqref>F157</xm:sqref>
            </x14:sparkline>
            <x14:sparkline>
              <xm:f>CAMCAM!G158:CS158</xm:f>
              <xm:sqref>F158</xm:sqref>
            </x14:sparkline>
            <x14:sparkline>
              <xm:f>CAMCAM!G159:CS159</xm:f>
              <xm:sqref>F159</xm:sqref>
            </x14:sparkline>
            <x14:sparkline>
              <xm:f>CAMCAM!G160:CS160</xm:f>
              <xm:sqref>F160</xm:sqref>
            </x14:sparkline>
            <x14:sparkline>
              <xm:f>CAMCAM!G161:CS161</xm:f>
              <xm:sqref>F161</xm:sqref>
            </x14:sparkline>
            <x14:sparkline>
              <xm:f>CAMCAM!G162:CS162</xm:f>
              <xm:sqref>F162</xm:sqref>
            </x14:sparkline>
          </x14:sparklines>
        </x14:sparklineGroup>
        <x14:sparklineGroup displayEmptyCellsAs="gap" high="1" low="1" negative="1" xr2:uid="{00000000-0003-0000-0200-000002000000}">
          <x14:colorSeries rgb="FF376092"/>
          <x14:colorNegative rgb="FFD00000"/>
          <x14:colorAxis rgb="FF000000"/>
          <x14:colorMarkers rgb="FFD00000"/>
          <x14:colorFirst rgb="FFD00000"/>
          <x14:colorLast rgb="FFD00000"/>
          <x14:colorHigh rgb="FFD00000"/>
          <x14:colorLow rgb="FFD00000"/>
          <x14:sparklines>
            <x14:sparkline>
              <xm:f>CAMCAM!G66:CJ66</xm:f>
              <xm:sqref>F66</xm:sqref>
            </x14:sparkline>
            <x14:sparkline>
              <xm:f>CAMCAM!G67:CJ67</xm:f>
              <xm:sqref>F67</xm:sqref>
            </x14:sparkline>
            <x14:sparkline>
              <xm:f>CAMCAM!G68:CJ68</xm:f>
              <xm:sqref>F68</xm:sqref>
            </x14:sparkline>
            <x14:sparkline>
              <xm:f>CAMCAM!G69:CJ69</xm:f>
              <xm:sqref>F69</xm:sqref>
            </x14:sparkline>
            <x14:sparkline>
              <xm:f>CAMCAM!G70:CJ70</xm:f>
              <xm:sqref>F70</xm:sqref>
            </x14:sparkline>
            <x14:sparkline>
              <xm:f>CAMCAM!G71:CJ71</xm:f>
              <xm:sqref>F71</xm:sqref>
            </x14:sparkline>
            <x14:sparkline>
              <xm:f>CAMCAM!G72:CJ72</xm:f>
              <xm:sqref>F72</xm:sqref>
            </x14:sparkline>
          </x14:sparklines>
        </x14:sparklineGroup>
        <x14:sparklineGroup displayEmptyCellsAs="gap" high="1" low="1" negative="1" xr2:uid="{00000000-0003-0000-0200-000000000000}">
          <x14:colorSeries rgb="FF376092"/>
          <x14:colorNegative rgb="FFD00000"/>
          <x14:colorAxis rgb="FF000000"/>
          <x14:colorMarkers rgb="FFD00000"/>
          <x14:colorFirst rgb="FFD00000"/>
          <x14:colorLast rgb="FFD00000"/>
          <x14:colorHigh rgb="FFD00000"/>
          <x14:colorLow rgb="FFD00000"/>
          <x14:sparklines>
            <x14:sparkline>
              <xm:f>CAMCAM!G337:CJ337</xm:f>
              <xm:sqref>F337</xm:sqref>
            </x14:sparkline>
            <x14:sparkline>
              <xm:f>CAMCAM!G338:CJ338</xm:f>
              <xm:sqref>F338</xm:sqref>
            </x14:sparkline>
            <x14:sparkline>
              <xm:f>CAMCAM!G339:CJ339</xm:f>
              <xm:sqref>F339</xm:sqref>
            </x14:sparkline>
            <x14:sparkline>
              <xm:f>CAMCAM!G340:CJ340</xm:f>
              <xm:sqref>F340</xm:sqref>
            </x14:sparkline>
            <x14:sparkline>
              <xm:f>CAMCAM!G341:CJ341</xm:f>
              <xm:sqref>F341</xm:sqref>
            </x14:sparkline>
            <x14:sparkline>
              <xm:f>CAMCAM!G342:CJ342</xm:f>
              <xm:sqref>F342</xm:sqref>
            </x14:sparkline>
            <x14:sparkline>
              <xm:f>CAMCAM!G343:CJ343</xm:f>
              <xm:sqref>F343</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Q286"/>
  <sheetViews>
    <sheetView topLeftCell="A5" zoomScale="46" zoomScaleNormal="46" workbookViewId="0">
      <pane xSplit="4" topLeftCell="F1" activePane="topRight" state="frozen"/>
      <selection pane="topRight" activeCell="Z85" sqref="Z85"/>
    </sheetView>
  </sheetViews>
  <sheetFormatPr defaultColWidth="8.84375" defaultRowHeight="22.5" x14ac:dyDescent="0.35"/>
  <cols>
    <col min="1" max="1" width="2.15234375" style="1369" customWidth="1"/>
    <col min="2" max="2" width="18.4609375" style="1369" customWidth="1"/>
    <col min="3" max="3" width="22.84375" style="1369" bestFit="1" customWidth="1"/>
    <col min="4" max="4" width="28.15234375" style="1369" customWidth="1"/>
    <col min="5" max="5" width="20.84375" style="1369" customWidth="1"/>
    <col min="6" max="6" width="15.61328125" style="1369" bestFit="1" customWidth="1"/>
    <col min="7" max="7" width="17.15234375" style="1369" customWidth="1"/>
    <col min="8" max="8" width="13.15234375" style="1369" customWidth="1"/>
    <col min="9" max="9" width="11.84375" style="1369" customWidth="1"/>
    <col min="10" max="10" width="16.3828125" style="1369" customWidth="1"/>
    <col min="11" max="11" width="23.15234375" style="1369" customWidth="1"/>
    <col min="12" max="12" width="17.07421875" style="1369" customWidth="1"/>
    <col min="13" max="17" width="17.61328125" style="1369" customWidth="1"/>
    <col min="18" max="18" width="25.4609375" style="1369" customWidth="1"/>
    <col min="19" max="19" width="14.84375" style="1369" bestFit="1" customWidth="1"/>
    <col min="20" max="20" width="16.84375" style="1369" bestFit="1" customWidth="1"/>
    <col min="21" max="23" width="16.84375" style="1369" customWidth="1"/>
    <col min="24" max="24" width="17.3828125" style="1369" customWidth="1"/>
    <col min="25" max="25" width="20.07421875" style="1369" customWidth="1"/>
    <col min="26" max="27" width="17.3828125" style="1369" customWidth="1"/>
    <col min="28" max="35" width="16.84375" style="1369" customWidth="1"/>
    <col min="36" max="36" width="11.15234375" style="1369" customWidth="1"/>
    <col min="37" max="38" width="11.53515625" style="1369" customWidth="1"/>
    <col min="39" max="39" width="10.4609375" style="1369" customWidth="1"/>
    <col min="40" max="40" width="10.84375" style="1369" customWidth="1"/>
    <col min="41" max="41" width="10.53515625" style="1369" customWidth="1"/>
    <col min="42" max="43" width="11.15234375" style="1369" customWidth="1"/>
    <col min="44" max="47" width="11.07421875" style="1369" customWidth="1"/>
    <col min="48" max="48" width="19.07421875" style="1369" customWidth="1"/>
    <col min="49" max="49" width="18.84375" style="1369" customWidth="1"/>
    <col min="50" max="51" width="17.84375" style="1369" customWidth="1"/>
    <col min="52" max="52" width="18.07421875" style="1369" customWidth="1"/>
    <col min="53" max="16384" width="8.84375" style="1369"/>
  </cols>
  <sheetData>
    <row r="1" spans="1:52" ht="23.5" thickBot="1" x14ac:dyDescent="0.4">
      <c r="A1" s="1367"/>
      <c r="B1" s="1368"/>
      <c r="C1" s="1367"/>
      <c r="D1" s="1367"/>
      <c r="E1" s="1367"/>
      <c r="F1" s="1367"/>
      <c r="G1" s="1367"/>
      <c r="H1" s="1367"/>
      <c r="I1" s="1367"/>
      <c r="J1" s="1367"/>
      <c r="K1" s="1367"/>
      <c r="L1" s="1367"/>
      <c r="M1" s="1367"/>
      <c r="N1" s="1367"/>
      <c r="O1" s="1367"/>
      <c r="P1" s="1367"/>
      <c r="Q1" s="1367"/>
      <c r="T1" s="1367"/>
      <c r="U1" s="1367"/>
      <c r="V1" s="1367"/>
      <c r="W1" s="1367"/>
      <c r="X1" s="1367"/>
      <c r="Y1" s="1367"/>
      <c r="Z1" s="1367"/>
      <c r="AA1" s="1367"/>
      <c r="AB1" s="1367"/>
      <c r="AC1" s="1367"/>
      <c r="AD1" s="1367"/>
      <c r="AE1" s="1367"/>
      <c r="AF1" s="1367"/>
      <c r="AG1" s="1367"/>
      <c r="AH1" s="1367"/>
      <c r="AI1" s="1367"/>
      <c r="AJ1" s="1367"/>
      <c r="AK1" s="1367"/>
      <c r="AL1" s="1367"/>
      <c r="AM1" s="1367"/>
      <c r="AN1" s="1367"/>
      <c r="AO1" s="1367"/>
      <c r="AP1" s="1367"/>
      <c r="AQ1" s="1367"/>
      <c r="AR1" s="1367"/>
      <c r="AS1" s="1367"/>
      <c r="AT1" s="1367"/>
      <c r="AU1" s="1367"/>
      <c r="AV1" s="1367"/>
      <c r="AW1" s="1367"/>
    </row>
    <row r="2" spans="1:52" ht="35.15" customHeight="1" thickBot="1" x14ac:dyDescent="0.4">
      <c r="A2" s="1367"/>
      <c r="B2" s="1370" t="s">
        <v>60</v>
      </c>
      <c r="C2" s="1371" t="s">
        <v>15</v>
      </c>
      <c r="D2" s="1370" t="s">
        <v>2</v>
      </c>
      <c r="E2" s="1372">
        <v>3</v>
      </c>
      <c r="F2" s="1367"/>
      <c r="G2" s="1373" t="s">
        <v>59</v>
      </c>
      <c r="H2" s="1367"/>
      <c r="I2" s="1367"/>
      <c r="J2" s="1367"/>
      <c r="K2" s="1367"/>
      <c r="L2" s="1367"/>
      <c r="M2" s="1367"/>
      <c r="N2" s="1367"/>
      <c r="O2" s="1367"/>
      <c r="P2" s="1367"/>
      <c r="Q2" s="1367"/>
      <c r="T2" s="1367"/>
      <c r="U2" s="1367"/>
      <c r="V2" s="1367"/>
      <c r="W2" s="1367"/>
      <c r="X2" s="1367"/>
      <c r="Y2" s="1367"/>
      <c r="Z2" s="1367"/>
      <c r="AA2" s="1367"/>
      <c r="AB2" s="1367"/>
      <c r="AC2" s="1367"/>
      <c r="AD2" s="1367"/>
      <c r="AE2" s="1367"/>
      <c r="AF2" s="1367"/>
      <c r="AG2" s="1367"/>
      <c r="AH2" s="1367"/>
      <c r="AI2" s="1367"/>
      <c r="AJ2" s="1367"/>
      <c r="AK2" s="1367"/>
      <c r="AL2" s="1367"/>
      <c r="AM2" s="1367"/>
      <c r="AN2" s="1367"/>
      <c r="AO2" s="1367"/>
      <c r="AP2" s="1367"/>
      <c r="AQ2" s="1367"/>
      <c r="AR2" s="1367"/>
      <c r="AS2" s="1367"/>
      <c r="AT2" s="1367"/>
      <c r="AU2" s="1367"/>
      <c r="AV2" s="1367"/>
      <c r="AW2" s="1367"/>
    </row>
    <row r="3" spans="1:52" ht="24" thickBot="1" x14ac:dyDescent="0.6">
      <c r="A3" s="1367"/>
      <c r="B3" s="1368"/>
      <c r="C3" s="1367"/>
      <c r="D3" s="1367"/>
      <c r="E3" s="1367"/>
      <c r="F3" s="1367"/>
      <c r="G3" s="1367"/>
      <c r="H3" s="1367"/>
      <c r="I3" s="1367"/>
      <c r="J3" s="1367"/>
      <c r="K3" s="1367"/>
      <c r="L3" s="1367"/>
      <c r="M3" s="1367"/>
      <c r="N3" s="1367"/>
      <c r="O3" s="1367"/>
      <c r="P3" s="1367"/>
      <c r="Q3" s="1367"/>
      <c r="T3" s="1367"/>
      <c r="U3" s="1367"/>
      <c r="V3" s="1367"/>
      <c r="W3" s="1367"/>
      <c r="X3" s="1367"/>
      <c r="Y3" s="1367"/>
      <c r="Z3" s="1367"/>
      <c r="AA3" s="1367"/>
      <c r="AB3" s="1367"/>
      <c r="AC3" s="1374"/>
      <c r="AD3" s="1367"/>
      <c r="AE3" s="1367"/>
      <c r="AF3" s="1367"/>
      <c r="AG3" s="1367"/>
      <c r="AH3" s="1367"/>
      <c r="AI3" s="1367"/>
      <c r="AJ3" s="1367"/>
      <c r="AK3" s="1367"/>
      <c r="AL3" s="1367"/>
      <c r="AM3" s="1367"/>
      <c r="AN3" s="1367"/>
      <c r="AO3" s="1367"/>
      <c r="AP3" s="1367"/>
      <c r="AQ3" s="1367"/>
      <c r="AR3" s="1367"/>
      <c r="AS3" s="1367"/>
      <c r="AT3" s="1367"/>
      <c r="AU3" s="1367"/>
      <c r="AV3" s="1367"/>
      <c r="AW3" s="1367"/>
    </row>
    <row r="4" spans="1:52" ht="115.5" thickBot="1" x14ac:dyDescent="0.4">
      <c r="A4" s="1367"/>
      <c r="B4" s="1375" t="s">
        <v>786</v>
      </c>
      <c r="C4" s="1367"/>
      <c r="D4" s="1367"/>
      <c r="E4" s="1367"/>
      <c r="F4" s="1367"/>
      <c r="G4" s="1367"/>
      <c r="H4" s="1367"/>
      <c r="I4" s="1367"/>
      <c r="J4" s="1367"/>
      <c r="K4" s="1367"/>
      <c r="L4" s="1367"/>
      <c r="M4" s="1367"/>
      <c r="N4" s="1367"/>
      <c r="O4" s="1367"/>
      <c r="P4" s="1367"/>
      <c r="Q4" s="1367"/>
      <c r="R4" s="1367"/>
      <c r="S4" s="1367"/>
      <c r="T4" s="1367"/>
      <c r="U4" s="1367"/>
      <c r="V4" s="1367"/>
      <c r="W4" s="1367"/>
      <c r="X4" s="1367"/>
      <c r="Y4" s="1367"/>
      <c r="Z4" s="1367"/>
      <c r="AA4" s="1367"/>
      <c r="AB4" s="1367"/>
      <c r="AC4" s="1367"/>
      <c r="AD4" s="1367"/>
      <c r="AE4" s="1367"/>
      <c r="AF4" s="1367"/>
      <c r="AG4" s="1367"/>
      <c r="AH4" s="1367"/>
      <c r="AI4" s="1376" t="s">
        <v>787</v>
      </c>
      <c r="AJ4" s="1724" t="s">
        <v>788</v>
      </c>
      <c r="AK4" s="1725"/>
      <c r="AL4" s="1724" t="s">
        <v>789</v>
      </c>
      <c r="AM4" s="1725"/>
      <c r="AN4" s="1724" t="s">
        <v>790</v>
      </c>
      <c r="AO4" s="1725"/>
      <c r="AP4" s="1724" t="s">
        <v>791</v>
      </c>
      <c r="AQ4" s="1725"/>
      <c r="AR4" s="1724" t="s">
        <v>792</v>
      </c>
      <c r="AS4" s="1725"/>
      <c r="AT4" s="1724" t="s">
        <v>793</v>
      </c>
      <c r="AU4" s="1725"/>
      <c r="AV4" s="1413" t="s">
        <v>794</v>
      </c>
      <c r="AW4" s="1367"/>
    </row>
    <row r="5" spans="1:52" ht="409.6" thickBot="1" x14ac:dyDescent="0.4">
      <c r="A5" s="1367"/>
      <c r="B5" s="1513" t="s">
        <v>65</v>
      </c>
      <c r="C5" s="1502" t="s">
        <v>795</v>
      </c>
      <c r="D5" s="1502" t="s">
        <v>796</v>
      </c>
      <c r="E5" s="1502" t="s">
        <v>797</v>
      </c>
      <c r="F5" s="1502" t="s">
        <v>798</v>
      </c>
      <c r="G5" s="1502" t="s">
        <v>799</v>
      </c>
      <c r="H5" s="1502" t="s">
        <v>800</v>
      </c>
      <c r="I5" s="1502" t="s">
        <v>801</v>
      </c>
      <c r="J5" s="1502" t="s">
        <v>802</v>
      </c>
      <c r="K5" s="1502" t="s">
        <v>803</v>
      </c>
      <c r="L5" s="1502" t="s">
        <v>804</v>
      </c>
      <c r="M5" s="1502" t="s">
        <v>805</v>
      </c>
      <c r="N5" s="1502" t="s">
        <v>806</v>
      </c>
      <c r="O5" s="1502" t="s">
        <v>807</v>
      </c>
      <c r="P5" s="1502" t="s">
        <v>808</v>
      </c>
      <c r="Q5" s="1502" t="s">
        <v>809</v>
      </c>
      <c r="R5" s="1514" t="s">
        <v>810</v>
      </c>
      <c r="S5" s="1502" t="s">
        <v>811</v>
      </c>
      <c r="T5" s="1502" t="s">
        <v>812</v>
      </c>
      <c r="U5" s="1502" t="s">
        <v>813</v>
      </c>
      <c r="V5" s="1502" t="s">
        <v>814</v>
      </c>
      <c r="W5" s="1502" t="s">
        <v>815</v>
      </c>
      <c r="X5" s="1502" t="s">
        <v>816</v>
      </c>
      <c r="Y5" s="1502" t="s">
        <v>817</v>
      </c>
      <c r="Z5" s="1502" t="s">
        <v>818</v>
      </c>
      <c r="AA5" s="1502" t="s">
        <v>819</v>
      </c>
      <c r="AB5" s="1502" t="s">
        <v>820</v>
      </c>
      <c r="AC5" s="1503" t="s">
        <v>821</v>
      </c>
      <c r="AD5" s="1503" t="s">
        <v>822</v>
      </c>
      <c r="AE5" s="1503" t="s">
        <v>823</v>
      </c>
      <c r="AF5" s="1504" t="s">
        <v>824</v>
      </c>
      <c r="AG5" s="1505" t="s">
        <v>825</v>
      </c>
      <c r="AH5" s="1505" t="s">
        <v>826</v>
      </c>
      <c r="AI5" s="1506" t="s">
        <v>827</v>
      </c>
      <c r="AJ5" s="1507" t="s">
        <v>828</v>
      </c>
      <c r="AK5" s="1508" t="s">
        <v>829</v>
      </c>
      <c r="AL5" s="1507" t="s">
        <v>830</v>
      </c>
      <c r="AM5" s="1508" t="s">
        <v>831</v>
      </c>
      <c r="AN5" s="1507" t="s">
        <v>832</v>
      </c>
      <c r="AO5" s="1508" t="s">
        <v>833</v>
      </c>
      <c r="AP5" s="1507" t="s">
        <v>834</v>
      </c>
      <c r="AQ5" s="1508" t="s">
        <v>835</v>
      </c>
      <c r="AR5" s="1507" t="s">
        <v>836</v>
      </c>
      <c r="AS5" s="1508" t="s">
        <v>837</v>
      </c>
      <c r="AT5" s="1507" t="s">
        <v>838</v>
      </c>
      <c r="AU5" s="1508" t="s">
        <v>839</v>
      </c>
      <c r="AV5" s="1508" t="s">
        <v>840</v>
      </c>
      <c r="AW5" s="1502" t="s">
        <v>841</v>
      </c>
      <c r="AX5" s="1509" t="s">
        <v>842</v>
      </c>
      <c r="AY5" s="1509" t="s">
        <v>843</v>
      </c>
      <c r="AZ5" s="1510" t="s">
        <v>844</v>
      </c>
    </row>
    <row r="6" spans="1:52" ht="135" x14ac:dyDescent="0.35">
      <c r="A6" s="1367"/>
      <c r="B6" s="1521" t="s">
        <v>1063</v>
      </c>
      <c r="C6" s="1522" t="s">
        <v>846</v>
      </c>
      <c r="D6" s="1522" t="s">
        <v>847</v>
      </c>
      <c r="E6" s="1523" t="s">
        <v>848</v>
      </c>
      <c r="F6" s="1524" t="s">
        <v>849</v>
      </c>
      <c r="G6" s="1525" t="s">
        <v>850</v>
      </c>
      <c r="H6" s="1526" t="s">
        <v>1066</v>
      </c>
      <c r="I6" s="1522" t="s">
        <v>852</v>
      </c>
      <c r="J6" s="1522"/>
      <c r="K6" s="1522"/>
      <c r="L6" s="1377" t="s">
        <v>852</v>
      </c>
      <c r="M6" s="1384" t="s">
        <v>852</v>
      </c>
      <c r="N6" s="1377" t="s">
        <v>852</v>
      </c>
      <c r="O6" s="1377" t="s">
        <v>852</v>
      </c>
      <c r="P6" s="1377" t="s">
        <v>852</v>
      </c>
      <c r="Q6" s="1377" t="s">
        <v>852</v>
      </c>
      <c r="R6" s="1522" t="s">
        <v>854</v>
      </c>
      <c r="S6" s="1526" t="s">
        <v>854</v>
      </c>
      <c r="T6" s="1526" t="s">
        <v>854</v>
      </c>
      <c r="U6" s="1522">
        <v>0.44</v>
      </c>
      <c r="V6" s="1522">
        <v>5</v>
      </c>
      <c r="W6" s="1522" t="s">
        <v>854</v>
      </c>
      <c r="X6" s="1527">
        <v>1.1939778895747859</v>
      </c>
      <c r="Y6" s="1527">
        <v>6.7207513636556243E-3</v>
      </c>
      <c r="Z6" s="1527">
        <v>6.7207513636556243E-3</v>
      </c>
      <c r="AA6" s="1528">
        <v>0.44</v>
      </c>
      <c r="AB6" s="1528">
        <v>0.44</v>
      </c>
      <c r="AC6" s="1528">
        <v>26.661617007308848</v>
      </c>
      <c r="AD6" s="1528">
        <v>51.398719729233122</v>
      </c>
      <c r="AE6" s="1528">
        <v>51.398719729233122</v>
      </c>
      <c r="AF6" s="1528">
        <v>1.9043062995771375E-2</v>
      </c>
      <c r="AG6" s="1528">
        <v>40.1</v>
      </c>
      <c r="AH6" s="1528">
        <v>1.5380779378244465</v>
      </c>
      <c r="AI6" s="1529">
        <v>-16</v>
      </c>
      <c r="AJ6" s="1529" t="s">
        <v>856</v>
      </c>
      <c r="AK6" s="1529" t="s">
        <v>854</v>
      </c>
      <c r="AL6" s="1529" t="s">
        <v>854</v>
      </c>
      <c r="AM6" s="1529" t="s">
        <v>857</v>
      </c>
      <c r="AN6" s="1529" t="s">
        <v>854</v>
      </c>
      <c r="AO6" s="1529" t="s">
        <v>858</v>
      </c>
      <c r="AP6" s="1529" t="s">
        <v>854</v>
      </c>
      <c r="AQ6" s="1529" t="s">
        <v>854</v>
      </c>
      <c r="AR6" s="1529" t="s">
        <v>854</v>
      </c>
      <c r="AS6" s="1529" t="s">
        <v>854</v>
      </c>
      <c r="AT6" s="1529" t="s">
        <v>854</v>
      </c>
      <c r="AU6" s="1529" t="s">
        <v>859</v>
      </c>
      <c r="AV6" s="1529" t="s">
        <v>860</v>
      </c>
      <c r="AW6" s="1529" t="s">
        <v>855</v>
      </c>
      <c r="AX6" s="1529" t="s">
        <v>855</v>
      </c>
      <c r="AY6" s="1529" t="s">
        <v>855</v>
      </c>
      <c r="AZ6" s="1530" t="s">
        <v>855</v>
      </c>
    </row>
    <row r="7" spans="1:52" ht="135.5" thickBot="1" x14ac:dyDescent="0.4">
      <c r="A7" s="1367"/>
      <c r="B7" s="1531" t="s">
        <v>845</v>
      </c>
      <c r="C7" s="1532" t="s">
        <v>861</v>
      </c>
      <c r="D7" s="1532" t="s">
        <v>862</v>
      </c>
      <c r="E7" s="1533" t="s">
        <v>863</v>
      </c>
      <c r="F7" s="1534" t="s">
        <v>849</v>
      </c>
      <c r="G7" s="1535" t="s">
        <v>850</v>
      </c>
      <c r="H7" s="1536" t="s">
        <v>851</v>
      </c>
      <c r="I7" s="1532" t="s">
        <v>852</v>
      </c>
      <c r="J7" s="1532"/>
      <c r="K7" s="1532"/>
      <c r="L7" s="1532" t="s">
        <v>853</v>
      </c>
      <c r="M7" s="1532" t="s">
        <v>853</v>
      </c>
      <c r="N7" s="1532" t="s">
        <v>853</v>
      </c>
      <c r="O7" s="1532" t="s">
        <v>853</v>
      </c>
      <c r="P7" s="1532" t="s">
        <v>853</v>
      </c>
      <c r="Q7" s="1532" t="s">
        <v>853</v>
      </c>
      <c r="R7" s="1532" t="s">
        <v>854</v>
      </c>
      <c r="S7" s="1536" t="s">
        <v>854</v>
      </c>
      <c r="T7" s="1536" t="s">
        <v>854</v>
      </c>
      <c r="U7" s="1532">
        <v>2</v>
      </c>
      <c r="V7" s="1532">
        <v>5</v>
      </c>
      <c r="W7" s="1536" t="s">
        <v>241</v>
      </c>
      <c r="X7" s="1537">
        <v>4.4604031021605648</v>
      </c>
      <c r="Y7" s="1537">
        <v>8.051934029982126E-2</v>
      </c>
      <c r="Z7" s="1537">
        <v>8.051934029982126E-2</v>
      </c>
      <c r="AA7" s="1538">
        <v>2</v>
      </c>
      <c r="AB7" s="1538">
        <v>2</v>
      </c>
      <c r="AC7" s="1538">
        <v>273.67740140204717</v>
      </c>
      <c r="AD7" s="1538">
        <v>400.91001388802016</v>
      </c>
      <c r="AE7" s="1538">
        <v>400.91001388802016</v>
      </c>
      <c r="AF7" s="1538">
        <v>0.15994315328262002</v>
      </c>
      <c r="AG7" s="1538">
        <v>41</v>
      </c>
      <c r="AH7" s="1538">
        <v>7.1475312546521899</v>
      </c>
      <c r="AI7" s="1539">
        <v>-16</v>
      </c>
      <c r="AJ7" s="1539" t="s">
        <v>864</v>
      </c>
      <c r="AK7" s="1539" t="s">
        <v>854</v>
      </c>
      <c r="AL7" s="1539" t="s">
        <v>854</v>
      </c>
      <c r="AM7" s="1539" t="s">
        <v>865</v>
      </c>
      <c r="AN7" s="1539" t="s">
        <v>854</v>
      </c>
      <c r="AO7" s="1539" t="s">
        <v>858</v>
      </c>
      <c r="AP7" s="1539" t="s">
        <v>854</v>
      </c>
      <c r="AQ7" s="1539" t="s">
        <v>854</v>
      </c>
      <c r="AR7" s="1539" t="s">
        <v>854</v>
      </c>
      <c r="AS7" s="1539" t="s">
        <v>854</v>
      </c>
      <c r="AT7" s="1539" t="s">
        <v>854</v>
      </c>
      <c r="AU7" s="1539" t="s">
        <v>859</v>
      </c>
      <c r="AV7" s="1539" t="s">
        <v>866</v>
      </c>
      <c r="AW7" s="1539" t="s">
        <v>855</v>
      </c>
      <c r="AX7" s="1539" t="s">
        <v>855</v>
      </c>
      <c r="AY7" s="1539" t="s">
        <v>855</v>
      </c>
      <c r="AZ7" s="1540" t="s">
        <v>855</v>
      </c>
    </row>
    <row r="8" spans="1:52" ht="92" hidden="1" customHeight="1" thickBot="1" x14ac:dyDescent="0.6">
      <c r="A8" s="1367"/>
      <c r="B8" s="1590" t="s">
        <v>867</v>
      </c>
      <c r="C8" s="1414" t="s">
        <v>868</v>
      </c>
      <c r="D8" s="1377" t="s">
        <v>869</v>
      </c>
      <c r="E8" s="1392" t="s">
        <v>863</v>
      </c>
      <c r="F8" s="1388" t="s">
        <v>849</v>
      </c>
      <c r="G8" s="1379" t="s">
        <v>850</v>
      </c>
      <c r="H8" s="1377" t="s">
        <v>870</v>
      </c>
      <c r="I8" s="1377" t="s">
        <v>852</v>
      </c>
      <c r="J8" s="1377"/>
      <c r="K8" s="1377"/>
      <c r="L8" s="1377" t="s">
        <v>852</v>
      </c>
      <c r="M8" s="1517" t="s">
        <v>852</v>
      </c>
      <c r="N8" s="1377"/>
      <c r="O8" s="1377"/>
      <c r="P8" s="1377"/>
      <c r="Q8" s="1377"/>
      <c r="R8" s="1388" t="s">
        <v>871</v>
      </c>
      <c r="S8" s="1388" t="s">
        <v>854</v>
      </c>
      <c r="T8" s="1388" t="s">
        <v>854</v>
      </c>
      <c r="U8" s="1388">
        <v>2</v>
      </c>
      <c r="V8" s="1388"/>
      <c r="W8" s="1388"/>
      <c r="X8" s="1388"/>
      <c r="Y8" s="1388"/>
      <c r="Z8" s="1388"/>
      <c r="AA8" s="1388"/>
      <c r="AB8" s="1390"/>
      <c r="AC8" s="1388"/>
      <c r="AD8" s="1388"/>
      <c r="AE8" s="1388"/>
      <c r="AF8" s="1388"/>
      <c r="AG8" s="1388"/>
      <c r="AH8" s="1388"/>
      <c r="AI8" s="1388"/>
      <c r="AJ8" s="1388"/>
      <c r="AK8" s="1388"/>
      <c r="AL8" s="1388"/>
      <c r="AM8" s="1388"/>
      <c r="AN8" s="1388"/>
      <c r="AO8" s="1388"/>
      <c r="AP8" s="1388"/>
      <c r="AQ8" s="1388"/>
      <c r="AR8" s="1388"/>
      <c r="AS8" s="1388"/>
      <c r="AT8" s="1388"/>
      <c r="AU8" s="1388"/>
      <c r="AV8" s="1388"/>
      <c r="AW8" s="1388"/>
      <c r="AX8" s="1391"/>
      <c r="AY8" s="1388"/>
      <c r="AZ8" s="1591"/>
    </row>
    <row r="9" spans="1:52" ht="69" hidden="1" customHeight="1" thickBot="1" x14ac:dyDescent="0.6">
      <c r="A9" s="1367"/>
      <c r="B9" s="1590" t="s">
        <v>872</v>
      </c>
      <c r="C9" s="1414" t="s">
        <v>873</v>
      </c>
      <c r="D9" s="1391" t="s">
        <v>874</v>
      </c>
      <c r="E9" s="1415" t="s">
        <v>875</v>
      </c>
      <c r="F9" s="1388" t="s">
        <v>876</v>
      </c>
      <c r="G9" s="1379" t="s">
        <v>850</v>
      </c>
      <c r="H9" s="1377" t="s">
        <v>870</v>
      </c>
      <c r="I9" s="1377" t="s">
        <v>852</v>
      </c>
      <c r="J9" s="1377"/>
      <c r="K9" s="1377"/>
      <c r="L9" s="1377" t="s">
        <v>852</v>
      </c>
      <c r="M9" s="1384" t="s">
        <v>852</v>
      </c>
      <c r="N9" s="1377"/>
      <c r="O9" s="1377"/>
      <c r="P9" s="1377"/>
      <c r="Q9" s="1377"/>
      <c r="R9" s="1388" t="s">
        <v>877</v>
      </c>
      <c r="S9" s="1388" t="s">
        <v>854</v>
      </c>
      <c r="T9" s="1388" t="s">
        <v>854</v>
      </c>
      <c r="U9" s="1388">
        <v>4.5</v>
      </c>
      <c r="V9" s="1388"/>
      <c r="W9" s="1388"/>
      <c r="X9" s="1388"/>
      <c r="Y9" s="1388"/>
      <c r="Z9" s="1388"/>
      <c r="AA9" s="1388"/>
      <c r="AB9" s="1390"/>
      <c r="AC9" s="1388"/>
      <c r="AD9" s="1388"/>
      <c r="AE9" s="1388"/>
      <c r="AF9" s="1388"/>
      <c r="AG9" s="1388"/>
      <c r="AH9" s="1388"/>
      <c r="AI9" s="1388"/>
      <c r="AJ9" s="1388"/>
      <c r="AK9" s="1388"/>
      <c r="AL9" s="1388"/>
      <c r="AM9" s="1388"/>
      <c r="AN9" s="1388"/>
      <c r="AO9" s="1388"/>
      <c r="AP9" s="1388"/>
      <c r="AQ9" s="1388"/>
      <c r="AR9" s="1388"/>
      <c r="AS9" s="1388"/>
      <c r="AT9" s="1388"/>
      <c r="AU9" s="1388"/>
      <c r="AV9" s="1388"/>
      <c r="AW9" s="1388"/>
      <c r="AX9" s="1391"/>
      <c r="AY9" s="1388"/>
      <c r="AZ9" s="1591"/>
    </row>
    <row r="10" spans="1:52" ht="69" hidden="1" customHeight="1" thickBot="1" x14ac:dyDescent="0.6">
      <c r="A10" s="1367"/>
      <c r="B10" s="1590" t="s">
        <v>872</v>
      </c>
      <c r="C10" s="1414" t="s">
        <v>878</v>
      </c>
      <c r="D10" s="1391" t="s">
        <v>879</v>
      </c>
      <c r="E10" s="1415" t="s">
        <v>875</v>
      </c>
      <c r="F10" s="1388" t="s">
        <v>876</v>
      </c>
      <c r="G10" s="1379" t="s">
        <v>850</v>
      </c>
      <c r="H10" s="1377" t="s">
        <v>870</v>
      </c>
      <c r="I10" s="1377" t="s">
        <v>852</v>
      </c>
      <c r="J10" s="1377"/>
      <c r="K10" s="1377"/>
      <c r="L10" s="1377" t="s">
        <v>852</v>
      </c>
      <c r="M10" s="1384" t="s">
        <v>852</v>
      </c>
      <c r="N10" s="1377"/>
      <c r="O10" s="1377"/>
      <c r="P10" s="1377"/>
      <c r="Q10" s="1377"/>
      <c r="R10" s="1388" t="s">
        <v>877</v>
      </c>
      <c r="S10" s="1388" t="s">
        <v>854</v>
      </c>
      <c r="T10" s="1388" t="s">
        <v>854</v>
      </c>
      <c r="U10" s="1388">
        <v>4.5</v>
      </c>
      <c r="V10" s="1388"/>
      <c r="W10" s="1388"/>
      <c r="X10" s="1388"/>
      <c r="Y10" s="1388"/>
      <c r="Z10" s="1388"/>
      <c r="AA10" s="1388"/>
      <c r="AB10" s="1390"/>
      <c r="AC10" s="1388"/>
      <c r="AD10" s="1388"/>
      <c r="AE10" s="1388"/>
      <c r="AF10" s="1388"/>
      <c r="AG10" s="1388"/>
      <c r="AH10" s="1388"/>
      <c r="AI10" s="1388"/>
      <c r="AJ10" s="1388"/>
      <c r="AK10" s="1388"/>
      <c r="AL10" s="1388"/>
      <c r="AM10" s="1388"/>
      <c r="AN10" s="1388"/>
      <c r="AO10" s="1388"/>
      <c r="AP10" s="1388"/>
      <c r="AQ10" s="1388"/>
      <c r="AR10" s="1388"/>
      <c r="AS10" s="1388"/>
      <c r="AT10" s="1388"/>
      <c r="AU10" s="1388"/>
      <c r="AV10" s="1388"/>
      <c r="AW10" s="1388"/>
      <c r="AX10" s="1391"/>
      <c r="AY10" s="1388"/>
      <c r="AZ10" s="1591"/>
    </row>
    <row r="11" spans="1:52" ht="92" hidden="1" customHeight="1" thickBot="1" x14ac:dyDescent="0.6">
      <c r="A11" s="1367"/>
      <c r="B11" s="1590" t="s">
        <v>867</v>
      </c>
      <c r="C11" s="1414" t="s">
        <v>880</v>
      </c>
      <c r="D11" s="1391" t="s">
        <v>881</v>
      </c>
      <c r="E11" s="1415" t="s">
        <v>863</v>
      </c>
      <c r="F11" s="1388" t="s">
        <v>849</v>
      </c>
      <c r="G11" s="1379" t="s">
        <v>850</v>
      </c>
      <c r="H11" s="1377" t="s">
        <v>870</v>
      </c>
      <c r="I11" s="1377" t="s">
        <v>852</v>
      </c>
      <c r="J11" s="1377"/>
      <c r="K11" s="1377"/>
      <c r="L11" s="1377" t="s">
        <v>852</v>
      </c>
      <c r="M11" s="1384" t="s">
        <v>852</v>
      </c>
      <c r="N11" s="1377"/>
      <c r="O11" s="1377"/>
      <c r="P11" s="1377"/>
      <c r="Q11" s="1377"/>
      <c r="R11" s="1388" t="s">
        <v>882</v>
      </c>
      <c r="S11" s="1388" t="s">
        <v>854</v>
      </c>
      <c r="T11" s="1388" t="s">
        <v>854</v>
      </c>
      <c r="U11" s="1388">
        <v>0.6</v>
      </c>
      <c r="V11" s="1388"/>
      <c r="W11" s="1388"/>
      <c r="X11" s="1388"/>
      <c r="Y11" s="1388"/>
      <c r="Z11" s="1388"/>
      <c r="AA11" s="1388"/>
      <c r="AB11" s="1390"/>
      <c r="AC11" s="1388"/>
      <c r="AD11" s="1388"/>
      <c r="AE11" s="1388"/>
      <c r="AF11" s="1388"/>
      <c r="AG11" s="1388"/>
      <c r="AH11" s="1388"/>
      <c r="AI11" s="1388"/>
      <c r="AJ11" s="1388"/>
      <c r="AK11" s="1388"/>
      <c r="AL11" s="1388"/>
      <c r="AM11" s="1388"/>
      <c r="AN11" s="1388"/>
      <c r="AO11" s="1388"/>
      <c r="AP11" s="1388"/>
      <c r="AQ11" s="1388"/>
      <c r="AR11" s="1388"/>
      <c r="AS11" s="1388"/>
      <c r="AT11" s="1388"/>
      <c r="AU11" s="1388"/>
      <c r="AV11" s="1388"/>
      <c r="AW11" s="1388"/>
      <c r="AX11" s="1391"/>
      <c r="AY11" s="1388"/>
      <c r="AZ11" s="1591"/>
    </row>
    <row r="12" spans="1:52" ht="92" hidden="1" customHeight="1" thickBot="1" x14ac:dyDescent="0.6">
      <c r="A12" s="1367"/>
      <c r="B12" s="1590" t="s">
        <v>867</v>
      </c>
      <c r="C12" s="1414" t="s">
        <v>883</v>
      </c>
      <c r="D12" s="1391" t="s">
        <v>884</v>
      </c>
      <c r="E12" s="1415" t="s">
        <v>863</v>
      </c>
      <c r="F12" s="1388" t="s">
        <v>849</v>
      </c>
      <c r="G12" s="1379" t="s">
        <v>850</v>
      </c>
      <c r="H12" s="1377" t="s">
        <v>870</v>
      </c>
      <c r="I12" s="1377" t="s">
        <v>852</v>
      </c>
      <c r="J12" s="1377"/>
      <c r="K12" s="1377"/>
      <c r="L12" s="1377" t="s">
        <v>852</v>
      </c>
      <c r="M12" s="1384" t="s">
        <v>852</v>
      </c>
      <c r="N12" s="1377"/>
      <c r="O12" s="1377"/>
      <c r="P12" s="1377"/>
      <c r="Q12" s="1377"/>
      <c r="R12" s="1388" t="s">
        <v>882</v>
      </c>
      <c r="S12" s="1388" t="s">
        <v>854</v>
      </c>
      <c r="T12" s="1388" t="s">
        <v>854</v>
      </c>
      <c r="U12" s="1388">
        <v>0.6</v>
      </c>
      <c r="V12" s="1388"/>
      <c r="W12" s="1388"/>
      <c r="X12" s="1388"/>
      <c r="Y12" s="1388"/>
      <c r="Z12" s="1388"/>
      <c r="AA12" s="1388"/>
      <c r="AB12" s="1390"/>
      <c r="AC12" s="1388"/>
      <c r="AD12" s="1388"/>
      <c r="AE12" s="1388"/>
      <c r="AF12" s="1388"/>
      <c r="AG12" s="1388"/>
      <c r="AH12" s="1388"/>
      <c r="AI12" s="1388"/>
      <c r="AJ12" s="1388"/>
      <c r="AK12" s="1388"/>
      <c r="AL12" s="1388"/>
      <c r="AM12" s="1388"/>
      <c r="AN12" s="1388"/>
      <c r="AO12" s="1388"/>
      <c r="AP12" s="1388"/>
      <c r="AQ12" s="1388"/>
      <c r="AR12" s="1388"/>
      <c r="AS12" s="1388"/>
      <c r="AT12" s="1388"/>
      <c r="AU12" s="1388"/>
      <c r="AV12" s="1388"/>
      <c r="AW12" s="1388"/>
      <c r="AX12" s="1391"/>
      <c r="AY12" s="1388"/>
      <c r="AZ12" s="1591"/>
    </row>
    <row r="13" spans="1:52" ht="92" hidden="1" customHeight="1" thickBot="1" x14ac:dyDescent="0.6">
      <c r="A13" s="1367"/>
      <c r="B13" s="1590" t="s">
        <v>867</v>
      </c>
      <c r="C13" s="1414" t="s">
        <v>885</v>
      </c>
      <c r="D13" s="1391" t="s">
        <v>886</v>
      </c>
      <c r="E13" s="1415" t="s">
        <v>863</v>
      </c>
      <c r="F13" s="1388" t="s">
        <v>849</v>
      </c>
      <c r="G13" s="1379" t="s">
        <v>850</v>
      </c>
      <c r="H13" s="1377" t="s">
        <v>870</v>
      </c>
      <c r="I13" s="1377" t="s">
        <v>852</v>
      </c>
      <c r="J13" s="1377"/>
      <c r="K13" s="1377"/>
      <c r="L13" s="1377" t="s">
        <v>852</v>
      </c>
      <c r="M13" s="1384" t="s">
        <v>852</v>
      </c>
      <c r="N13" s="1377"/>
      <c r="O13" s="1377"/>
      <c r="P13" s="1377"/>
      <c r="Q13" s="1377"/>
      <c r="R13" s="1388" t="s">
        <v>882</v>
      </c>
      <c r="S13" s="1388" t="s">
        <v>854</v>
      </c>
      <c r="T13" s="1388" t="s">
        <v>854</v>
      </c>
      <c r="U13" s="1388">
        <v>0.6</v>
      </c>
      <c r="V13" s="1388"/>
      <c r="W13" s="1388"/>
      <c r="X13" s="1388"/>
      <c r="Y13" s="1388"/>
      <c r="Z13" s="1388"/>
      <c r="AA13" s="1388"/>
      <c r="AB13" s="1390"/>
      <c r="AC13" s="1388"/>
      <c r="AD13" s="1388"/>
      <c r="AE13" s="1388"/>
      <c r="AF13" s="1388"/>
      <c r="AG13" s="1388"/>
      <c r="AH13" s="1388"/>
      <c r="AI13" s="1388"/>
      <c r="AJ13" s="1388"/>
      <c r="AK13" s="1388"/>
      <c r="AL13" s="1388"/>
      <c r="AM13" s="1388"/>
      <c r="AN13" s="1388"/>
      <c r="AO13" s="1388"/>
      <c r="AP13" s="1388"/>
      <c r="AQ13" s="1388"/>
      <c r="AR13" s="1388"/>
      <c r="AS13" s="1388"/>
      <c r="AT13" s="1388"/>
      <c r="AU13" s="1388"/>
      <c r="AV13" s="1388"/>
      <c r="AW13" s="1388"/>
      <c r="AX13" s="1391"/>
      <c r="AY13" s="1388"/>
      <c r="AZ13" s="1591"/>
    </row>
    <row r="14" spans="1:52" ht="274.25" hidden="1" customHeight="1" thickBot="1" x14ac:dyDescent="0.6">
      <c r="A14" s="1367"/>
      <c r="B14" s="1590" t="s">
        <v>867</v>
      </c>
      <c r="C14" s="1414" t="s">
        <v>887</v>
      </c>
      <c r="D14" s="1391" t="s">
        <v>888</v>
      </c>
      <c r="E14" s="1415" t="s">
        <v>889</v>
      </c>
      <c r="F14" s="1388" t="s">
        <v>849</v>
      </c>
      <c r="G14" s="1379" t="s">
        <v>850</v>
      </c>
      <c r="H14" s="1377" t="s">
        <v>870</v>
      </c>
      <c r="I14" s="1377" t="s">
        <v>852</v>
      </c>
      <c r="J14" s="1377"/>
      <c r="K14" s="1377"/>
      <c r="L14" s="1377" t="s">
        <v>852</v>
      </c>
      <c r="M14" s="1384" t="s">
        <v>852</v>
      </c>
      <c r="N14" s="1377"/>
      <c r="O14" s="1377"/>
      <c r="P14" s="1377"/>
      <c r="Q14" s="1377"/>
      <c r="R14" s="1388" t="s">
        <v>890</v>
      </c>
      <c r="S14" s="1388" t="s">
        <v>854</v>
      </c>
      <c r="T14" s="1388" t="s">
        <v>854</v>
      </c>
      <c r="U14" s="1388">
        <v>10</v>
      </c>
      <c r="V14" s="1388"/>
      <c r="W14" s="1388"/>
      <c r="X14" s="1388"/>
      <c r="Y14" s="1388"/>
      <c r="Z14" s="1388"/>
      <c r="AA14" s="1388"/>
      <c r="AB14" s="1390"/>
      <c r="AC14" s="1388"/>
      <c r="AD14" s="1388"/>
      <c r="AE14" s="1388"/>
      <c r="AF14" s="1388"/>
      <c r="AG14" s="1388"/>
      <c r="AH14" s="1388"/>
      <c r="AI14" s="1388"/>
      <c r="AJ14" s="1388"/>
      <c r="AK14" s="1388"/>
      <c r="AL14" s="1388"/>
      <c r="AM14" s="1388"/>
      <c r="AN14" s="1388"/>
      <c r="AO14" s="1388"/>
      <c r="AP14" s="1388"/>
      <c r="AQ14" s="1388"/>
      <c r="AR14" s="1388"/>
      <c r="AS14" s="1388"/>
      <c r="AT14" s="1388"/>
      <c r="AU14" s="1388"/>
      <c r="AV14" s="1388"/>
      <c r="AW14" s="1388"/>
      <c r="AX14" s="1391"/>
      <c r="AY14" s="1388"/>
      <c r="AZ14" s="1591"/>
    </row>
    <row r="15" spans="1:52" ht="270.5" hidden="1" thickBot="1" x14ac:dyDescent="0.6">
      <c r="A15" s="1367"/>
      <c r="B15" s="1590" t="s">
        <v>867</v>
      </c>
      <c r="C15" s="1414" t="s">
        <v>891</v>
      </c>
      <c r="D15" s="1391" t="s">
        <v>892</v>
      </c>
      <c r="E15" s="1415" t="s">
        <v>893</v>
      </c>
      <c r="F15" s="1388" t="s">
        <v>849</v>
      </c>
      <c r="G15" s="1379" t="s">
        <v>850</v>
      </c>
      <c r="H15" s="1377" t="s">
        <v>870</v>
      </c>
      <c r="I15" s="1377" t="s">
        <v>852</v>
      </c>
      <c r="J15" s="1377"/>
      <c r="K15" s="1377"/>
      <c r="L15" s="1377" t="s">
        <v>852</v>
      </c>
      <c r="M15" s="1384" t="s">
        <v>852</v>
      </c>
      <c r="N15" s="1377"/>
      <c r="O15" s="1377"/>
      <c r="P15" s="1377"/>
      <c r="Q15" s="1377"/>
      <c r="R15" s="1388" t="s">
        <v>890</v>
      </c>
      <c r="S15" s="1388" t="s">
        <v>854</v>
      </c>
      <c r="T15" s="1388" t="s">
        <v>854</v>
      </c>
      <c r="U15" s="1388">
        <v>10</v>
      </c>
      <c r="V15" s="1388"/>
      <c r="W15" s="1388"/>
      <c r="X15" s="1388"/>
      <c r="Y15" s="1388"/>
      <c r="Z15" s="1388"/>
      <c r="AA15" s="1388"/>
      <c r="AB15" s="1390"/>
      <c r="AC15" s="1388"/>
      <c r="AD15" s="1388"/>
      <c r="AE15" s="1388"/>
      <c r="AF15" s="1388"/>
      <c r="AG15" s="1388"/>
      <c r="AH15" s="1388"/>
      <c r="AI15" s="1388"/>
      <c r="AJ15" s="1388"/>
      <c r="AK15" s="1388"/>
      <c r="AL15" s="1388"/>
      <c r="AM15" s="1388"/>
      <c r="AN15" s="1388"/>
      <c r="AO15" s="1388"/>
      <c r="AP15" s="1388"/>
      <c r="AQ15" s="1388"/>
      <c r="AR15" s="1388"/>
      <c r="AS15" s="1388"/>
      <c r="AT15" s="1388"/>
      <c r="AU15" s="1388"/>
      <c r="AV15" s="1388"/>
      <c r="AW15" s="1388"/>
      <c r="AX15" s="1391"/>
      <c r="AY15" s="1388"/>
      <c r="AZ15" s="1591"/>
    </row>
    <row r="16" spans="1:52" ht="270.5" hidden="1" thickBot="1" x14ac:dyDescent="0.6">
      <c r="A16" s="1367"/>
      <c r="B16" s="1590" t="s">
        <v>867</v>
      </c>
      <c r="C16" s="1414" t="s">
        <v>894</v>
      </c>
      <c r="D16" s="1391" t="s">
        <v>895</v>
      </c>
      <c r="E16" s="1415" t="s">
        <v>889</v>
      </c>
      <c r="F16" s="1388" t="s">
        <v>849</v>
      </c>
      <c r="G16" s="1379" t="s">
        <v>850</v>
      </c>
      <c r="H16" s="1377" t="s">
        <v>870</v>
      </c>
      <c r="I16" s="1377" t="s">
        <v>852</v>
      </c>
      <c r="J16" s="1377"/>
      <c r="K16" s="1377"/>
      <c r="L16" s="1377" t="s">
        <v>852</v>
      </c>
      <c r="M16" s="1384" t="s">
        <v>852</v>
      </c>
      <c r="N16" s="1377"/>
      <c r="O16" s="1377"/>
      <c r="P16" s="1377"/>
      <c r="Q16" s="1377"/>
      <c r="R16" s="1388" t="s">
        <v>890</v>
      </c>
      <c r="S16" s="1388" t="s">
        <v>854</v>
      </c>
      <c r="T16" s="1388" t="s">
        <v>854</v>
      </c>
      <c r="U16" s="1388">
        <v>10</v>
      </c>
      <c r="V16" s="1388"/>
      <c r="W16" s="1388"/>
      <c r="X16" s="1388"/>
      <c r="Y16" s="1388"/>
      <c r="Z16" s="1388"/>
      <c r="AA16" s="1388"/>
      <c r="AB16" s="1390"/>
      <c r="AC16" s="1388"/>
      <c r="AD16" s="1388"/>
      <c r="AE16" s="1388"/>
      <c r="AF16" s="1388"/>
      <c r="AG16" s="1388"/>
      <c r="AH16" s="1388"/>
      <c r="AI16" s="1388"/>
      <c r="AJ16" s="1388"/>
      <c r="AK16" s="1388"/>
      <c r="AL16" s="1388"/>
      <c r="AM16" s="1388"/>
      <c r="AN16" s="1388"/>
      <c r="AO16" s="1388"/>
      <c r="AP16" s="1388"/>
      <c r="AQ16" s="1388"/>
      <c r="AR16" s="1388"/>
      <c r="AS16" s="1388"/>
      <c r="AT16" s="1388"/>
      <c r="AU16" s="1388"/>
      <c r="AV16" s="1388"/>
      <c r="AW16" s="1388"/>
      <c r="AX16" s="1391"/>
      <c r="AY16" s="1388"/>
      <c r="AZ16" s="1591"/>
    </row>
    <row r="17" spans="1:52" ht="270.5" hidden="1" thickBot="1" x14ac:dyDescent="0.6">
      <c r="A17" s="1367"/>
      <c r="B17" s="1590" t="s">
        <v>867</v>
      </c>
      <c r="C17" s="1414" t="s">
        <v>896</v>
      </c>
      <c r="D17" s="1391" t="s">
        <v>897</v>
      </c>
      <c r="E17" s="1415" t="s">
        <v>893</v>
      </c>
      <c r="F17" s="1388" t="s">
        <v>849</v>
      </c>
      <c r="G17" s="1379" t="s">
        <v>850</v>
      </c>
      <c r="H17" s="1377" t="s">
        <v>870</v>
      </c>
      <c r="I17" s="1377" t="s">
        <v>852</v>
      </c>
      <c r="J17" s="1377"/>
      <c r="K17" s="1377"/>
      <c r="L17" s="1377" t="s">
        <v>852</v>
      </c>
      <c r="M17" s="1384" t="s">
        <v>852</v>
      </c>
      <c r="N17" s="1377"/>
      <c r="O17" s="1377"/>
      <c r="P17" s="1377"/>
      <c r="Q17" s="1377"/>
      <c r="R17" s="1388" t="s">
        <v>890</v>
      </c>
      <c r="S17" s="1388" t="s">
        <v>854</v>
      </c>
      <c r="T17" s="1388" t="s">
        <v>854</v>
      </c>
      <c r="U17" s="1388">
        <v>10</v>
      </c>
      <c r="V17" s="1388"/>
      <c r="W17" s="1388"/>
      <c r="X17" s="1388"/>
      <c r="Y17" s="1388"/>
      <c r="Z17" s="1388"/>
      <c r="AA17" s="1388"/>
      <c r="AB17" s="1390"/>
      <c r="AC17" s="1388"/>
      <c r="AD17" s="1388"/>
      <c r="AE17" s="1388"/>
      <c r="AF17" s="1388"/>
      <c r="AG17" s="1388"/>
      <c r="AH17" s="1388"/>
      <c r="AI17" s="1388"/>
      <c r="AJ17" s="1388"/>
      <c r="AK17" s="1388"/>
      <c r="AL17" s="1388"/>
      <c r="AM17" s="1388"/>
      <c r="AN17" s="1388"/>
      <c r="AO17" s="1388"/>
      <c r="AP17" s="1388"/>
      <c r="AQ17" s="1388"/>
      <c r="AR17" s="1388"/>
      <c r="AS17" s="1388"/>
      <c r="AT17" s="1388"/>
      <c r="AU17" s="1388"/>
      <c r="AV17" s="1388"/>
      <c r="AW17" s="1388"/>
      <c r="AX17" s="1391"/>
      <c r="AY17" s="1388"/>
      <c r="AZ17" s="1591"/>
    </row>
    <row r="18" spans="1:52" ht="68" hidden="1" thickBot="1" x14ac:dyDescent="0.6">
      <c r="A18" s="1367"/>
      <c r="B18" s="1590" t="s">
        <v>867</v>
      </c>
      <c r="C18" s="1414" t="s">
        <v>898</v>
      </c>
      <c r="D18" s="1391" t="s">
        <v>899</v>
      </c>
      <c r="E18" s="1415" t="s">
        <v>863</v>
      </c>
      <c r="F18" s="1388" t="s">
        <v>849</v>
      </c>
      <c r="G18" s="1379" t="s">
        <v>850</v>
      </c>
      <c r="H18" s="1377" t="s">
        <v>870</v>
      </c>
      <c r="I18" s="1377" t="s">
        <v>852</v>
      </c>
      <c r="J18" s="1377"/>
      <c r="K18" s="1377"/>
      <c r="L18" s="1377" t="s">
        <v>852</v>
      </c>
      <c r="M18" s="1384" t="s">
        <v>852</v>
      </c>
      <c r="N18" s="1377"/>
      <c r="O18" s="1377"/>
      <c r="P18" s="1377"/>
      <c r="Q18" s="1377"/>
      <c r="R18" s="1388" t="s">
        <v>900</v>
      </c>
      <c r="S18" s="1388" t="s">
        <v>854</v>
      </c>
      <c r="T18" s="1388" t="s">
        <v>854</v>
      </c>
      <c r="U18" s="1388">
        <v>1.99</v>
      </c>
      <c r="V18" s="1388"/>
      <c r="W18" s="1388"/>
      <c r="X18" s="1388"/>
      <c r="Y18" s="1388"/>
      <c r="Z18" s="1388"/>
      <c r="AA18" s="1388"/>
      <c r="AB18" s="1390"/>
      <c r="AC18" s="1388"/>
      <c r="AD18" s="1388"/>
      <c r="AE18" s="1388"/>
      <c r="AF18" s="1388"/>
      <c r="AG18" s="1388"/>
      <c r="AH18" s="1388"/>
      <c r="AI18" s="1388"/>
      <c r="AJ18" s="1388"/>
      <c r="AK18" s="1388"/>
      <c r="AL18" s="1388"/>
      <c r="AM18" s="1388"/>
      <c r="AN18" s="1388"/>
      <c r="AO18" s="1388"/>
      <c r="AP18" s="1388"/>
      <c r="AQ18" s="1388"/>
      <c r="AR18" s="1388"/>
      <c r="AS18" s="1388"/>
      <c r="AT18" s="1388"/>
      <c r="AU18" s="1388"/>
      <c r="AV18" s="1388"/>
      <c r="AW18" s="1388"/>
      <c r="AX18" s="1391"/>
      <c r="AY18" s="1388"/>
      <c r="AZ18" s="1591"/>
    </row>
    <row r="19" spans="1:52" ht="68" hidden="1" thickBot="1" x14ac:dyDescent="0.6">
      <c r="A19" s="1367"/>
      <c r="B19" s="1590" t="s">
        <v>867</v>
      </c>
      <c r="C19" s="1414" t="s">
        <v>901</v>
      </c>
      <c r="D19" s="1391" t="s">
        <v>902</v>
      </c>
      <c r="E19" s="1415" t="s">
        <v>863</v>
      </c>
      <c r="F19" s="1388" t="s">
        <v>849</v>
      </c>
      <c r="G19" s="1379" t="s">
        <v>850</v>
      </c>
      <c r="H19" s="1377" t="s">
        <v>870</v>
      </c>
      <c r="I19" s="1377" t="s">
        <v>852</v>
      </c>
      <c r="J19" s="1377"/>
      <c r="K19" s="1377"/>
      <c r="L19" s="1377" t="s">
        <v>852</v>
      </c>
      <c r="M19" s="1384" t="s">
        <v>852</v>
      </c>
      <c r="N19" s="1377"/>
      <c r="O19" s="1377"/>
      <c r="P19" s="1377"/>
      <c r="Q19" s="1377"/>
      <c r="R19" s="1388" t="s">
        <v>900</v>
      </c>
      <c r="S19" s="1388" t="s">
        <v>854</v>
      </c>
      <c r="T19" s="1388" t="s">
        <v>854</v>
      </c>
      <c r="U19" s="1388">
        <v>1.99</v>
      </c>
      <c r="V19" s="1388"/>
      <c r="W19" s="1388"/>
      <c r="X19" s="1388"/>
      <c r="Y19" s="1388"/>
      <c r="Z19" s="1388"/>
      <c r="AA19" s="1388"/>
      <c r="AB19" s="1390"/>
      <c r="AC19" s="1388"/>
      <c r="AD19" s="1388"/>
      <c r="AE19" s="1388"/>
      <c r="AF19" s="1388"/>
      <c r="AG19" s="1388"/>
      <c r="AH19" s="1388"/>
      <c r="AI19" s="1388"/>
      <c r="AJ19" s="1388"/>
      <c r="AK19" s="1388"/>
      <c r="AL19" s="1388"/>
      <c r="AM19" s="1388"/>
      <c r="AN19" s="1388"/>
      <c r="AO19" s="1388"/>
      <c r="AP19" s="1388"/>
      <c r="AQ19" s="1388"/>
      <c r="AR19" s="1388"/>
      <c r="AS19" s="1388"/>
      <c r="AT19" s="1388"/>
      <c r="AU19" s="1388"/>
      <c r="AV19" s="1388"/>
      <c r="AW19" s="1388"/>
      <c r="AX19" s="1391"/>
      <c r="AY19" s="1388"/>
      <c r="AZ19" s="1591"/>
    </row>
    <row r="20" spans="1:52" ht="47.5" hidden="1" thickBot="1" x14ac:dyDescent="0.6">
      <c r="A20" s="1367"/>
      <c r="B20" s="1590" t="s">
        <v>867</v>
      </c>
      <c r="C20" s="1414" t="s">
        <v>903</v>
      </c>
      <c r="D20" s="1391" t="s">
        <v>904</v>
      </c>
      <c r="E20" s="1415" t="s">
        <v>863</v>
      </c>
      <c r="F20" s="1388" t="s">
        <v>849</v>
      </c>
      <c r="G20" s="1379" t="s">
        <v>850</v>
      </c>
      <c r="H20" s="1377" t="s">
        <v>870</v>
      </c>
      <c r="I20" s="1377" t="s">
        <v>852</v>
      </c>
      <c r="J20" s="1377"/>
      <c r="K20" s="1377"/>
      <c r="L20" s="1377" t="s">
        <v>852</v>
      </c>
      <c r="M20" s="1384" t="s">
        <v>852</v>
      </c>
      <c r="N20" s="1377"/>
      <c r="O20" s="1377"/>
      <c r="P20" s="1377"/>
      <c r="Q20" s="1377"/>
      <c r="R20" s="1388" t="s">
        <v>905</v>
      </c>
      <c r="S20" s="1388" t="s">
        <v>854</v>
      </c>
      <c r="T20" s="1388" t="s">
        <v>854</v>
      </c>
      <c r="U20" s="1388">
        <v>1</v>
      </c>
      <c r="V20" s="1388"/>
      <c r="W20" s="1388"/>
      <c r="X20" s="1388"/>
      <c r="Y20" s="1388"/>
      <c r="Z20" s="1388"/>
      <c r="AA20" s="1388"/>
      <c r="AB20" s="1390"/>
      <c r="AC20" s="1388"/>
      <c r="AD20" s="1388"/>
      <c r="AE20" s="1388"/>
      <c r="AF20" s="1388"/>
      <c r="AG20" s="1388"/>
      <c r="AH20" s="1388"/>
      <c r="AI20" s="1388"/>
      <c r="AJ20" s="1388"/>
      <c r="AK20" s="1388"/>
      <c r="AL20" s="1388"/>
      <c r="AM20" s="1388"/>
      <c r="AN20" s="1388"/>
      <c r="AO20" s="1388"/>
      <c r="AP20" s="1388"/>
      <c r="AQ20" s="1388"/>
      <c r="AR20" s="1388"/>
      <c r="AS20" s="1388"/>
      <c r="AT20" s="1388"/>
      <c r="AU20" s="1388"/>
      <c r="AV20" s="1388"/>
      <c r="AW20" s="1388"/>
      <c r="AX20" s="1391"/>
      <c r="AY20" s="1388"/>
      <c r="AZ20" s="1591"/>
    </row>
    <row r="21" spans="1:52" ht="47.5" hidden="1" thickBot="1" x14ac:dyDescent="0.6">
      <c r="A21" s="1367"/>
      <c r="B21" s="1590" t="s">
        <v>867</v>
      </c>
      <c r="C21" s="1414" t="s">
        <v>906</v>
      </c>
      <c r="D21" s="1391" t="s">
        <v>907</v>
      </c>
      <c r="E21" s="1415" t="s">
        <v>863</v>
      </c>
      <c r="F21" s="1388" t="s">
        <v>849</v>
      </c>
      <c r="G21" s="1379" t="s">
        <v>850</v>
      </c>
      <c r="H21" s="1377" t="s">
        <v>870</v>
      </c>
      <c r="I21" s="1377" t="s">
        <v>852</v>
      </c>
      <c r="J21" s="1377"/>
      <c r="K21" s="1377"/>
      <c r="L21" s="1377" t="s">
        <v>852</v>
      </c>
      <c r="M21" s="1384" t="s">
        <v>852</v>
      </c>
      <c r="N21" s="1377"/>
      <c r="O21" s="1377"/>
      <c r="P21" s="1377"/>
      <c r="Q21" s="1377"/>
      <c r="R21" s="1388" t="s">
        <v>905</v>
      </c>
      <c r="S21" s="1388" t="s">
        <v>854</v>
      </c>
      <c r="T21" s="1388" t="s">
        <v>854</v>
      </c>
      <c r="U21" s="1388">
        <v>1</v>
      </c>
      <c r="V21" s="1388"/>
      <c r="W21" s="1388"/>
      <c r="X21" s="1388"/>
      <c r="Y21" s="1388"/>
      <c r="Z21" s="1388"/>
      <c r="AA21" s="1388"/>
      <c r="AB21" s="1390"/>
      <c r="AC21" s="1388"/>
      <c r="AD21" s="1388"/>
      <c r="AE21" s="1388"/>
      <c r="AF21" s="1388"/>
      <c r="AG21" s="1388"/>
      <c r="AH21" s="1388"/>
      <c r="AI21" s="1388"/>
      <c r="AJ21" s="1388"/>
      <c r="AK21" s="1388"/>
      <c r="AL21" s="1388"/>
      <c r="AM21" s="1388"/>
      <c r="AN21" s="1388"/>
      <c r="AO21" s="1388"/>
      <c r="AP21" s="1388"/>
      <c r="AQ21" s="1388"/>
      <c r="AR21" s="1388"/>
      <c r="AS21" s="1388"/>
      <c r="AT21" s="1388"/>
      <c r="AU21" s="1388"/>
      <c r="AV21" s="1388"/>
      <c r="AW21" s="1388"/>
      <c r="AX21" s="1391"/>
      <c r="AY21" s="1388"/>
      <c r="AZ21" s="1591"/>
    </row>
    <row r="22" spans="1:52" ht="68" hidden="1" thickBot="1" x14ac:dyDescent="0.6">
      <c r="A22" s="1367"/>
      <c r="B22" s="1590" t="s">
        <v>867</v>
      </c>
      <c r="C22" s="1414" t="s">
        <v>908</v>
      </c>
      <c r="D22" s="1391" t="s">
        <v>909</v>
      </c>
      <c r="E22" s="1415" t="s">
        <v>863</v>
      </c>
      <c r="F22" s="1388" t="s">
        <v>849</v>
      </c>
      <c r="G22" s="1379" t="s">
        <v>850</v>
      </c>
      <c r="H22" s="1377" t="s">
        <v>870</v>
      </c>
      <c r="I22" s="1377" t="s">
        <v>852</v>
      </c>
      <c r="J22" s="1377"/>
      <c r="K22" s="1377"/>
      <c r="L22" s="1377" t="s">
        <v>852</v>
      </c>
      <c r="M22" s="1384" t="s">
        <v>852</v>
      </c>
      <c r="N22" s="1377"/>
      <c r="O22" s="1377"/>
      <c r="P22" s="1377"/>
      <c r="Q22" s="1377"/>
      <c r="R22" s="1388" t="s">
        <v>900</v>
      </c>
      <c r="S22" s="1388" t="s">
        <v>854</v>
      </c>
      <c r="T22" s="1388" t="s">
        <v>854</v>
      </c>
      <c r="U22" s="1388">
        <v>3.27</v>
      </c>
      <c r="V22" s="1388"/>
      <c r="W22" s="1388"/>
      <c r="X22" s="1388"/>
      <c r="Y22" s="1388"/>
      <c r="Z22" s="1388"/>
      <c r="AA22" s="1388"/>
      <c r="AB22" s="1390"/>
      <c r="AC22" s="1388"/>
      <c r="AD22" s="1388"/>
      <c r="AE22" s="1388"/>
      <c r="AF22" s="1388"/>
      <c r="AG22" s="1388"/>
      <c r="AH22" s="1388"/>
      <c r="AI22" s="1388"/>
      <c r="AJ22" s="1388"/>
      <c r="AK22" s="1388"/>
      <c r="AL22" s="1388"/>
      <c r="AM22" s="1388"/>
      <c r="AN22" s="1388"/>
      <c r="AO22" s="1388"/>
      <c r="AP22" s="1388"/>
      <c r="AQ22" s="1388"/>
      <c r="AR22" s="1388"/>
      <c r="AS22" s="1388"/>
      <c r="AT22" s="1388"/>
      <c r="AU22" s="1388"/>
      <c r="AV22" s="1388"/>
      <c r="AW22" s="1388"/>
      <c r="AX22" s="1391"/>
      <c r="AY22" s="1388"/>
      <c r="AZ22" s="1591"/>
    </row>
    <row r="23" spans="1:52" ht="68" hidden="1" thickBot="1" x14ac:dyDescent="0.6">
      <c r="A23" s="1367"/>
      <c r="B23" s="1590" t="s">
        <v>867</v>
      </c>
      <c r="C23" s="1414" t="s">
        <v>910</v>
      </c>
      <c r="D23" s="1391" t="s">
        <v>911</v>
      </c>
      <c r="E23" s="1415" t="s">
        <v>863</v>
      </c>
      <c r="F23" s="1388" t="s">
        <v>849</v>
      </c>
      <c r="G23" s="1379" t="s">
        <v>850</v>
      </c>
      <c r="H23" s="1377" t="s">
        <v>870</v>
      </c>
      <c r="I23" s="1377" t="s">
        <v>852</v>
      </c>
      <c r="J23" s="1377"/>
      <c r="K23" s="1377"/>
      <c r="L23" s="1377" t="s">
        <v>852</v>
      </c>
      <c r="M23" s="1384" t="s">
        <v>852</v>
      </c>
      <c r="N23" s="1377"/>
      <c r="O23" s="1377"/>
      <c r="P23" s="1377"/>
      <c r="Q23" s="1377"/>
      <c r="R23" s="1388" t="s">
        <v>900</v>
      </c>
      <c r="S23" s="1388" t="s">
        <v>854</v>
      </c>
      <c r="T23" s="1388" t="s">
        <v>854</v>
      </c>
      <c r="U23" s="1388">
        <v>3.27</v>
      </c>
      <c r="V23" s="1388"/>
      <c r="W23" s="1388"/>
      <c r="X23" s="1388"/>
      <c r="Y23" s="1388"/>
      <c r="Z23" s="1388"/>
      <c r="AA23" s="1388"/>
      <c r="AB23" s="1390"/>
      <c r="AC23" s="1388"/>
      <c r="AD23" s="1388"/>
      <c r="AE23" s="1388"/>
      <c r="AF23" s="1388"/>
      <c r="AG23" s="1388"/>
      <c r="AH23" s="1388"/>
      <c r="AI23" s="1388"/>
      <c r="AJ23" s="1388"/>
      <c r="AK23" s="1388"/>
      <c r="AL23" s="1388"/>
      <c r="AM23" s="1388"/>
      <c r="AN23" s="1388"/>
      <c r="AO23" s="1388"/>
      <c r="AP23" s="1388"/>
      <c r="AQ23" s="1388"/>
      <c r="AR23" s="1388"/>
      <c r="AS23" s="1388"/>
      <c r="AT23" s="1388"/>
      <c r="AU23" s="1388"/>
      <c r="AV23" s="1388"/>
      <c r="AW23" s="1388"/>
      <c r="AX23" s="1391"/>
      <c r="AY23" s="1388"/>
      <c r="AZ23" s="1591"/>
    </row>
    <row r="24" spans="1:52" ht="68" hidden="1" thickBot="1" x14ac:dyDescent="0.6">
      <c r="A24" s="1367"/>
      <c r="B24" s="1590" t="s">
        <v>867</v>
      </c>
      <c r="C24" s="1414" t="s">
        <v>912</v>
      </c>
      <c r="D24" s="1391" t="s">
        <v>913</v>
      </c>
      <c r="E24" s="1415" t="s">
        <v>863</v>
      </c>
      <c r="F24" s="1388" t="s">
        <v>849</v>
      </c>
      <c r="G24" s="1379" t="s">
        <v>850</v>
      </c>
      <c r="H24" s="1377" t="s">
        <v>870</v>
      </c>
      <c r="I24" s="1377" t="s">
        <v>852</v>
      </c>
      <c r="J24" s="1377"/>
      <c r="K24" s="1377"/>
      <c r="L24" s="1377" t="s">
        <v>852</v>
      </c>
      <c r="M24" s="1384" t="s">
        <v>852</v>
      </c>
      <c r="N24" s="1377"/>
      <c r="O24" s="1377"/>
      <c r="P24" s="1377"/>
      <c r="Q24" s="1377"/>
      <c r="R24" s="1388" t="s">
        <v>900</v>
      </c>
      <c r="S24" s="1388" t="s">
        <v>854</v>
      </c>
      <c r="T24" s="1388" t="s">
        <v>854</v>
      </c>
      <c r="U24" s="1388">
        <v>3.27</v>
      </c>
      <c r="V24" s="1388"/>
      <c r="W24" s="1388"/>
      <c r="X24" s="1388"/>
      <c r="Y24" s="1388"/>
      <c r="Z24" s="1388"/>
      <c r="AA24" s="1388"/>
      <c r="AB24" s="1390"/>
      <c r="AC24" s="1388"/>
      <c r="AD24" s="1388"/>
      <c r="AE24" s="1388"/>
      <c r="AF24" s="1388"/>
      <c r="AG24" s="1388"/>
      <c r="AH24" s="1388"/>
      <c r="AI24" s="1388"/>
      <c r="AJ24" s="1388"/>
      <c r="AK24" s="1388"/>
      <c r="AL24" s="1388"/>
      <c r="AM24" s="1388"/>
      <c r="AN24" s="1388"/>
      <c r="AO24" s="1388"/>
      <c r="AP24" s="1388"/>
      <c r="AQ24" s="1388"/>
      <c r="AR24" s="1388"/>
      <c r="AS24" s="1388"/>
      <c r="AT24" s="1388"/>
      <c r="AU24" s="1388"/>
      <c r="AV24" s="1388"/>
      <c r="AW24" s="1388"/>
      <c r="AX24" s="1391"/>
      <c r="AY24" s="1388"/>
      <c r="AZ24" s="1591"/>
    </row>
    <row r="25" spans="1:52" ht="90.5" hidden="1" thickBot="1" x14ac:dyDescent="0.4">
      <c r="A25" s="1367"/>
      <c r="B25" s="1590" t="s">
        <v>867</v>
      </c>
      <c r="C25" s="1414" t="s">
        <v>914</v>
      </c>
      <c r="D25" s="1391" t="s">
        <v>915</v>
      </c>
      <c r="E25" s="1378" t="s">
        <v>848</v>
      </c>
      <c r="F25" s="1388" t="s">
        <v>849</v>
      </c>
      <c r="G25" s="1379" t="s">
        <v>850</v>
      </c>
      <c r="H25" s="1377" t="s">
        <v>870</v>
      </c>
      <c r="I25" s="1377" t="s">
        <v>852</v>
      </c>
      <c r="J25" s="1377"/>
      <c r="K25" s="1377"/>
      <c r="L25" s="1377" t="s">
        <v>852</v>
      </c>
      <c r="M25" s="1384" t="s">
        <v>852</v>
      </c>
      <c r="N25" s="1377"/>
      <c r="O25" s="1377"/>
      <c r="P25" s="1377"/>
      <c r="Q25" s="1377"/>
      <c r="R25" s="1388" t="s">
        <v>916</v>
      </c>
      <c r="S25" s="1388" t="s">
        <v>854</v>
      </c>
      <c r="T25" s="1388" t="s">
        <v>854</v>
      </c>
      <c r="U25" s="1388">
        <v>0</v>
      </c>
      <c r="V25" s="1388"/>
      <c r="W25" s="1388"/>
      <c r="X25" s="1388"/>
      <c r="Y25" s="1388"/>
      <c r="Z25" s="1388"/>
      <c r="AA25" s="1388"/>
      <c r="AB25" s="1390"/>
      <c r="AC25" s="1388"/>
      <c r="AD25" s="1388"/>
      <c r="AE25" s="1388"/>
      <c r="AF25" s="1388"/>
      <c r="AG25" s="1388"/>
      <c r="AH25" s="1388"/>
      <c r="AI25" s="1388"/>
      <c r="AJ25" s="1388"/>
      <c r="AK25" s="1388"/>
      <c r="AL25" s="1388"/>
      <c r="AM25" s="1388"/>
      <c r="AN25" s="1388"/>
      <c r="AO25" s="1388"/>
      <c r="AP25" s="1388"/>
      <c r="AQ25" s="1388"/>
      <c r="AR25" s="1388"/>
      <c r="AS25" s="1388"/>
      <c r="AT25" s="1388"/>
      <c r="AU25" s="1388"/>
      <c r="AV25" s="1388"/>
      <c r="AW25" s="1388"/>
      <c r="AX25" s="1391"/>
      <c r="AY25" s="1388"/>
      <c r="AZ25" s="1591"/>
    </row>
    <row r="26" spans="1:52" ht="68" hidden="1" thickBot="1" x14ac:dyDescent="0.4">
      <c r="A26" s="1367"/>
      <c r="B26" s="1590" t="s">
        <v>867</v>
      </c>
      <c r="C26" s="1414" t="s">
        <v>917</v>
      </c>
      <c r="D26" s="1391" t="s">
        <v>918</v>
      </c>
      <c r="E26" s="1378" t="s">
        <v>848</v>
      </c>
      <c r="F26" s="1388" t="s">
        <v>849</v>
      </c>
      <c r="G26" s="1379" t="s">
        <v>850</v>
      </c>
      <c r="H26" s="1377" t="s">
        <v>870</v>
      </c>
      <c r="I26" s="1377" t="s">
        <v>852</v>
      </c>
      <c r="J26" s="1377"/>
      <c r="K26" s="1377"/>
      <c r="L26" s="1377" t="s">
        <v>852</v>
      </c>
      <c r="M26" s="1384" t="s">
        <v>852</v>
      </c>
      <c r="N26" s="1377"/>
      <c r="O26" s="1377"/>
      <c r="P26" s="1377"/>
      <c r="Q26" s="1377"/>
      <c r="R26" s="1388" t="s">
        <v>919</v>
      </c>
      <c r="S26" s="1388" t="s">
        <v>854</v>
      </c>
      <c r="T26" s="1388" t="s">
        <v>854</v>
      </c>
      <c r="U26" s="1388">
        <v>0.75</v>
      </c>
      <c r="V26" s="1388"/>
      <c r="W26" s="1388"/>
      <c r="X26" s="1388"/>
      <c r="Y26" s="1388"/>
      <c r="Z26" s="1388"/>
      <c r="AA26" s="1388"/>
      <c r="AB26" s="1390"/>
      <c r="AC26" s="1388"/>
      <c r="AD26" s="1388"/>
      <c r="AE26" s="1388"/>
      <c r="AF26" s="1388"/>
      <c r="AG26" s="1388"/>
      <c r="AH26" s="1388"/>
      <c r="AI26" s="1388"/>
      <c r="AJ26" s="1388"/>
      <c r="AK26" s="1388"/>
      <c r="AL26" s="1388"/>
      <c r="AM26" s="1388"/>
      <c r="AN26" s="1388"/>
      <c r="AO26" s="1388"/>
      <c r="AP26" s="1388"/>
      <c r="AQ26" s="1388"/>
      <c r="AR26" s="1388"/>
      <c r="AS26" s="1388"/>
      <c r="AT26" s="1388"/>
      <c r="AU26" s="1388"/>
      <c r="AV26" s="1388"/>
      <c r="AW26" s="1388"/>
      <c r="AX26" s="1391"/>
      <c r="AY26" s="1388"/>
      <c r="AZ26" s="1591"/>
    </row>
    <row r="27" spans="1:52" ht="68" hidden="1" thickBot="1" x14ac:dyDescent="0.4">
      <c r="A27" s="1367"/>
      <c r="B27" s="1590" t="s">
        <v>867</v>
      </c>
      <c r="C27" s="1414" t="s">
        <v>920</v>
      </c>
      <c r="D27" s="1391" t="s">
        <v>921</v>
      </c>
      <c r="E27" s="1378" t="s">
        <v>848</v>
      </c>
      <c r="F27" s="1388" t="s">
        <v>849</v>
      </c>
      <c r="G27" s="1379" t="s">
        <v>850</v>
      </c>
      <c r="H27" s="1377" t="s">
        <v>870</v>
      </c>
      <c r="I27" s="1377" t="s">
        <v>852</v>
      </c>
      <c r="J27" s="1377"/>
      <c r="K27" s="1377"/>
      <c r="L27" s="1377" t="s">
        <v>852</v>
      </c>
      <c r="M27" s="1384" t="s">
        <v>852</v>
      </c>
      <c r="N27" s="1377"/>
      <c r="O27" s="1377"/>
      <c r="P27" s="1377"/>
      <c r="Q27" s="1377"/>
      <c r="R27" s="1388" t="s">
        <v>919</v>
      </c>
      <c r="S27" s="1388" t="s">
        <v>854</v>
      </c>
      <c r="T27" s="1388" t="s">
        <v>854</v>
      </c>
      <c r="U27" s="1388">
        <v>1.5</v>
      </c>
      <c r="V27" s="1388"/>
      <c r="W27" s="1388"/>
      <c r="X27" s="1388"/>
      <c r="Y27" s="1388"/>
      <c r="Z27" s="1388"/>
      <c r="AA27" s="1388"/>
      <c r="AB27" s="1390"/>
      <c r="AC27" s="1388"/>
      <c r="AD27" s="1388"/>
      <c r="AE27" s="1388"/>
      <c r="AF27" s="1388"/>
      <c r="AG27" s="1388"/>
      <c r="AH27" s="1388"/>
      <c r="AI27" s="1388"/>
      <c r="AJ27" s="1388"/>
      <c r="AK27" s="1388"/>
      <c r="AL27" s="1388"/>
      <c r="AM27" s="1388"/>
      <c r="AN27" s="1388"/>
      <c r="AO27" s="1388"/>
      <c r="AP27" s="1388"/>
      <c r="AQ27" s="1388"/>
      <c r="AR27" s="1388"/>
      <c r="AS27" s="1388"/>
      <c r="AT27" s="1388"/>
      <c r="AU27" s="1388"/>
      <c r="AV27" s="1388"/>
      <c r="AW27" s="1388"/>
      <c r="AX27" s="1391"/>
      <c r="AY27" s="1388"/>
      <c r="AZ27" s="1591"/>
    </row>
    <row r="28" spans="1:52" ht="90.5" hidden="1" thickBot="1" x14ac:dyDescent="0.4">
      <c r="A28" s="1367"/>
      <c r="B28" s="1590" t="s">
        <v>867</v>
      </c>
      <c r="C28" s="1414" t="s">
        <v>922</v>
      </c>
      <c r="D28" s="1391" t="s">
        <v>923</v>
      </c>
      <c r="E28" s="1378" t="s">
        <v>848</v>
      </c>
      <c r="F28" s="1388" t="s">
        <v>849</v>
      </c>
      <c r="G28" s="1379" t="s">
        <v>850</v>
      </c>
      <c r="H28" s="1377" t="s">
        <v>870</v>
      </c>
      <c r="I28" s="1377" t="s">
        <v>852</v>
      </c>
      <c r="J28" s="1377"/>
      <c r="K28" s="1377"/>
      <c r="L28" s="1377" t="s">
        <v>852</v>
      </c>
      <c r="M28" s="1384" t="s">
        <v>852</v>
      </c>
      <c r="N28" s="1377"/>
      <c r="O28" s="1377"/>
      <c r="P28" s="1377"/>
      <c r="Q28" s="1377"/>
      <c r="R28" s="1388" t="s">
        <v>924</v>
      </c>
      <c r="S28" s="1388" t="s">
        <v>854</v>
      </c>
      <c r="T28" s="1388" t="s">
        <v>854</v>
      </c>
      <c r="U28" s="1388">
        <v>1.5</v>
      </c>
      <c r="V28" s="1388"/>
      <c r="W28" s="1388"/>
      <c r="X28" s="1388"/>
      <c r="Y28" s="1388"/>
      <c r="Z28" s="1388"/>
      <c r="AA28" s="1388"/>
      <c r="AB28" s="1390"/>
      <c r="AC28" s="1388"/>
      <c r="AD28" s="1388"/>
      <c r="AE28" s="1388"/>
      <c r="AF28" s="1388"/>
      <c r="AG28" s="1388"/>
      <c r="AH28" s="1388"/>
      <c r="AI28" s="1388"/>
      <c r="AJ28" s="1388"/>
      <c r="AK28" s="1388"/>
      <c r="AL28" s="1388"/>
      <c r="AM28" s="1388"/>
      <c r="AN28" s="1388"/>
      <c r="AO28" s="1388"/>
      <c r="AP28" s="1388"/>
      <c r="AQ28" s="1388"/>
      <c r="AR28" s="1388"/>
      <c r="AS28" s="1388"/>
      <c r="AT28" s="1388"/>
      <c r="AU28" s="1388"/>
      <c r="AV28" s="1388"/>
      <c r="AW28" s="1388"/>
      <c r="AX28" s="1391"/>
      <c r="AY28" s="1388"/>
      <c r="AZ28" s="1591"/>
    </row>
    <row r="29" spans="1:52" ht="68" hidden="1" thickBot="1" x14ac:dyDescent="0.4">
      <c r="A29" s="1367"/>
      <c r="B29" s="1590" t="s">
        <v>867</v>
      </c>
      <c r="C29" s="1414" t="s">
        <v>925</v>
      </c>
      <c r="D29" s="1391" t="s">
        <v>926</v>
      </c>
      <c r="E29" s="1378" t="s">
        <v>848</v>
      </c>
      <c r="F29" s="1388" t="s">
        <v>849</v>
      </c>
      <c r="G29" s="1379" t="s">
        <v>850</v>
      </c>
      <c r="H29" s="1377" t="s">
        <v>870</v>
      </c>
      <c r="I29" s="1377" t="s">
        <v>852</v>
      </c>
      <c r="J29" s="1377"/>
      <c r="K29" s="1377"/>
      <c r="L29" s="1377" t="s">
        <v>852</v>
      </c>
      <c r="M29" s="1384" t="s">
        <v>852</v>
      </c>
      <c r="N29" s="1377"/>
      <c r="O29" s="1377"/>
      <c r="P29" s="1377"/>
      <c r="Q29" s="1377"/>
      <c r="R29" s="1388" t="s">
        <v>919</v>
      </c>
      <c r="S29" s="1388" t="s">
        <v>854</v>
      </c>
      <c r="T29" s="1388" t="s">
        <v>854</v>
      </c>
      <c r="U29" s="1388">
        <v>1.5</v>
      </c>
      <c r="V29" s="1388"/>
      <c r="W29" s="1388"/>
      <c r="X29" s="1388"/>
      <c r="Y29" s="1388"/>
      <c r="Z29" s="1388"/>
      <c r="AA29" s="1388"/>
      <c r="AB29" s="1390"/>
      <c r="AC29" s="1388"/>
      <c r="AD29" s="1388"/>
      <c r="AE29" s="1388"/>
      <c r="AF29" s="1388"/>
      <c r="AG29" s="1388"/>
      <c r="AH29" s="1388"/>
      <c r="AI29" s="1388"/>
      <c r="AJ29" s="1388"/>
      <c r="AK29" s="1388"/>
      <c r="AL29" s="1388"/>
      <c r="AM29" s="1388"/>
      <c r="AN29" s="1388"/>
      <c r="AO29" s="1388"/>
      <c r="AP29" s="1388"/>
      <c r="AQ29" s="1388"/>
      <c r="AR29" s="1388"/>
      <c r="AS29" s="1388"/>
      <c r="AT29" s="1388"/>
      <c r="AU29" s="1388"/>
      <c r="AV29" s="1388"/>
      <c r="AW29" s="1388"/>
      <c r="AX29" s="1391"/>
      <c r="AY29" s="1388"/>
      <c r="AZ29" s="1591"/>
    </row>
    <row r="30" spans="1:52" ht="46.5" hidden="1" thickBot="1" x14ac:dyDescent="0.4">
      <c r="A30" s="1367"/>
      <c r="B30" s="1590" t="s">
        <v>867</v>
      </c>
      <c r="C30" s="1414" t="s">
        <v>927</v>
      </c>
      <c r="D30" s="1391" t="s">
        <v>928</v>
      </c>
      <c r="E30" s="1378" t="s">
        <v>848</v>
      </c>
      <c r="F30" s="1388" t="s">
        <v>849</v>
      </c>
      <c r="G30" s="1379" t="s">
        <v>850</v>
      </c>
      <c r="H30" s="1377" t="s">
        <v>870</v>
      </c>
      <c r="I30" s="1377" t="s">
        <v>852</v>
      </c>
      <c r="J30" s="1377"/>
      <c r="K30" s="1377"/>
      <c r="L30" s="1377" t="s">
        <v>852</v>
      </c>
      <c r="M30" s="1384" t="s">
        <v>852</v>
      </c>
      <c r="N30" s="1377"/>
      <c r="O30" s="1377"/>
      <c r="P30" s="1377"/>
      <c r="Q30" s="1377"/>
      <c r="R30" s="1388" t="s">
        <v>929</v>
      </c>
      <c r="S30" s="1388" t="s">
        <v>854</v>
      </c>
      <c r="T30" s="1388" t="s">
        <v>854</v>
      </c>
      <c r="U30" s="1388">
        <v>1.5</v>
      </c>
      <c r="V30" s="1388"/>
      <c r="W30" s="1388"/>
      <c r="X30" s="1388"/>
      <c r="Y30" s="1388"/>
      <c r="Z30" s="1388"/>
      <c r="AA30" s="1388"/>
      <c r="AB30" s="1390"/>
      <c r="AC30" s="1388"/>
      <c r="AD30" s="1388"/>
      <c r="AE30" s="1388"/>
      <c r="AF30" s="1388"/>
      <c r="AG30" s="1388"/>
      <c r="AH30" s="1388"/>
      <c r="AI30" s="1388"/>
      <c r="AJ30" s="1388"/>
      <c r="AK30" s="1388"/>
      <c r="AL30" s="1388"/>
      <c r="AM30" s="1388"/>
      <c r="AN30" s="1388"/>
      <c r="AO30" s="1388"/>
      <c r="AP30" s="1388"/>
      <c r="AQ30" s="1388"/>
      <c r="AR30" s="1388"/>
      <c r="AS30" s="1388"/>
      <c r="AT30" s="1388"/>
      <c r="AU30" s="1388"/>
      <c r="AV30" s="1388"/>
      <c r="AW30" s="1388"/>
      <c r="AX30" s="1391"/>
      <c r="AY30" s="1388"/>
      <c r="AZ30" s="1591"/>
    </row>
    <row r="31" spans="1:52" ht="68" hidden="1" thickBot="1" x14ac:dyDescent="0.4">
      <c r="A31" s="1367"/>
      <c r="B31" s="1590" t="s">
        <v>867</v>
      </c>
      <c r="C31" s="1414" t="s">
        <v>930</v>
      </c>
      <c r="D31" s="1391" t="s">
        <v>931</v>
      </c>
      <c r="E31" s="1378" t="s">
        <v>848</v>
      </c>
      <c r="F31" s="1388" t="s">
        <v>849</v>
      </c>
      <c r="G31" s="1379" t="s">
        <v>850</v>
      </c>
      <c r="H31" s="1377" t="s">
        <v>870</v>
      </c>
      <c r="I31" s="1377" t="s">
        <v>852</v>
      </c>
      <c r="J31" s="1377"/>
      <c r="K31" s="1377"/>
      <c r="L31" s="1377" t="s">
        <v>852</v>
      </c>
      <c r="M31" s="1384" t="s">
        <v>852</v>
      </c>
      <c r="N31" s="1377"/>
      <c r="O31" s="1377"/>
      <c r="P31" s="1377"/>
      <c r="Q31" s="1377"/>
      <c r="R31" s="1388" t="s">
        <v>919</v>
      </c>
      <c r="S31" s="1388" t="s">
        <v>854</v>
      </c>
      <c r="T31" s="1388" t="s">
        <v>854</v>
      </c>
      <c r="U31" s="1388">
        <v>4</v>
      </c>
      <c r="V31" s="1388"/>
      <c r="W31" s="1388"/>
      <c r="X31" s="1388"/>
      <c r="Y31" s="1388"/>
      <c r="Z31" s="1388"/>
      <c r="AA31" s="1388"/>
      <c r="AB31" s="1390"/>
      <c r="AC31" s="1388"/>
      <c r="AD31" s="1388"/>
      <c r="AE31" s="1388"/>
      <c r="AF31" s="1388"/>
      <c r="AG31" s="1388"/>
      <c r="AH31" s="1388"/>
      <c r="AI31" s="1388"/>
      <c r="AJ31" s="1388"/>
      <c r="AK31" s="1388"/>
      <c r="AL31" s="1388"/>
      <c r="AM31" s="1388"/>
      <c r="AN31" s="1388"/>
      <c r="AO31" s="1388"/>
      <c r="AP31" s="1388"/>
      <c r="AQ31" s="1388"/>
      <c r="AR31" s="1388"/>
      <c r="AS31" s="1388"/>
      <c r="AT31" s="1388"/>
      <c r="AU31" s="1388"/>
      <c r="AV31" s="1388"/>
      <c r="AW31" s="1388"/>
      <c r="AX31" s="1391"/>
      <c r="AY31" s="1388"/>
      <c r="AZ31" s="1591"/>
    </row>
    <row r="32" spans="1:52" ht="68" hidden="1" thickBot="1" x14ac:dyDescent="0.4">
      <c r="A32" s="1367"/>
      <c r="B32" s="1590" t="s">
        <v>867</v>
      </c>
      <c r="C32" s="1414" t="s">
        <v>932</v>
      </c>
      <c r="D32" s="1391" t="s">
        <v>933</v>
      </c>
      <c r="E32" s="1378" t="s">
        <v>848</v>
      </c>
      <c r="F32" s="1388" t="s">
        <v>849</v>
      </c>
      <c r="G32" s="1379" t="s">
        <v>850</v>
      </c>
      <c r="H32" s="1377" t="s">
        <v>870</v>
      </c>
      <c r="I32" s="1377" t="s">
        <v>852</v>
      </c>
      <c r="J32" s="1377"/>
      <c r="K32" s="1377"/>
      <c r="L32" s="1377" t="s">
        <v>852</v>
      </c>
      <c r="M32" s="1384" t="s">
        <v>852</v>
      </c>
      <c r="N32" s="1377"/>
      <c r="O32" s="1377"/>
      <c r="P32" s="1377"/>
      <c r="Q32" s="1377"/>
      <c r="R32" s="1388" t="s">
        <v>919</v>
      </c>
      <c r="S32" s="1388" t="s">
        <v>854</v>
      </c>
      <c r="T32" s="1388" t="s">
        <v>854</v>
      </c>
      <c r="U32" s="1388">
        <v>4</v>
      </c>
      <c r="V32" s="1388"/>
      <c r="W32" s="1388"/>
      <c r="X32" s="1388"/>
      <c r="Y32" s="1388"/>
      <c r="Z32" s="1388"/>
      <c r="AA32" s="1388"/>
      <c r="AB32" s="1390"/>
      <c r="AC32" s="1388"/>
      <c r="AD32" s="1388"/>
      <c r="AE32" s="1388"/>
      <c r="AF32" s="1388"/>
      <c r="AG32" s="1388"/>
      <c r="AH32" s="1388"/>
      <c r="AI32" s="1388"/>
      <c r="AJ32" s="1388"/>
      <c r="AK32" s="1388"/>
      <c r="AL32" s="1388"/>
      <c r="AM32" s="1388"/>
      <c r="AN32" s="1388"/>
      <c r="AO32" s="1388"/>
      <c r="AP32" s="1388"/>
      <c r="AQ32" s="1388"/>
      <c r="AR32" s="1388"/>
      <c r="AS32" s="1388"/>
      <c r="AT32" s="1388"/>
      <c r="AU32" s="1388"/>
      <c r="AV32" s="1388"/>
      <c r="AW32" s="1388"/>
      <c r="AX32" s="1391"/>
      <c r="AY32" s="1388"/>
      <c r="AZ32" s="1591"/>
    </row>
    <row r="33" spans="1:52" ht="47.5" hidden="1" thickBot="1" x14ac:dyDescent="0.6">
      <c r="A33" s="1367"/>
      <c r="B33" s="1590" t="s">
        <v>867</v>
      </c>
      <c r="C33" s="1414" t="s">
        <v>934</v>
      </c>
      <c r="D33" s="1391" t="s">
        <v>935</v>
      </c>
      <c r="E33" s="1415" t="s">
        <v>848</v>
      </c>
      <c r="F33" s="1388" t="s">
        <v>849</v>
      </c>
      <c r="G33" s="1379" t="s">
        <v>850</v>
      </c>
      <c r="H33" s="1377" t="s">
        <v>870</v>
      </c>
      <c r="I33" s="1377" t="s">
        <v>852</v>
      </c>
      <c r="J33" s="1377"/>
      <c r="K33" s="1377"/>
      <c r="L33" s="1377" t="s">
        <v>852</v>
      </c>
      <c r="M33" s="1384" t="s">
        <v>852</v>
      </c>
      <c r="N33" s="1377"/>
      <c r="O33" s="1377"/>
      <c r="P33" s="1377"/>
      <c r="Q33" s="1377"/>
      <c r="R33" s="1388" t="s">
        <v>936</v>
      </c>
      <c r="S33" s="1388" t="s">
        <v>854</v>
      </c>
      <c r="T33" s="1388" t="s">
        <v>854</v>
      </c>
      <c r="U33" s="1388">
        <v>0</v>
      </c>
      <c r="V33" s="1388"/>
      <c r="W33" s="1388"/>
      <c r="X33" s="1388"/>
      <c r="Y33" s="1388"/>
      <c r="Z33" s="1388"/>
      <c r="AA33" s="1388"/>
      <c r="AB33" s="1390"/>
      <c r="AC33" s="1388"/>
      <c r="AD33" s="1388"/>
      <c r="AE33" s="1388"/>
      <c r="AF33" s="1388"/>
      <c r="AG33" s="1388"/>
      <c r="AH33" s="1388"/>
      <c r="AI33" s="1388"/>
      <c r="AJ33" s="1388"/>
      <c r="AK33" s="1388"/>
      <c r="AL33" s="1388"/>
      <c r="AM33" s="1388"/>
      <c r="AN33" s="1388"/>
      <c r="AO33" s="1388"/>
      <c r="AP33" s="1388"/>
      <c r="AQ33" s="1388"/>
      <c r="AR33" s="1388"/>
      <c r="AS33" s="1388"/>
      <c r="AT33" s="1388"/>
      <c r="AU33" s="1388"/>
      <c r="AV33" s="1388"/>
      <c r="AW33" s="1388"/>
      <c r="AX33" s="1391"/>
      <c r="AY33" s="1388"/>
      <c r="AZ33" s="1591"/>
    </row>
    <row r="34" spans="1:52" ht="68" hidden="1" thickBot="1" x14ac:dyDescent="0.6">
      <c r="A34" s="1367"/>
      <c r="B34" s="1590" t="s">
        <v>867</v>
      </c>
      <c r="C34" s="1414" t="s">
        <v>937</v>
      </c>
      <c r="D34" s="1391" t="s">
        <v>938</v>
      </c>
      <c r="E34" s="1415" t="s">
        <v>848</v>
      </c>
      <c r="F34" s="1388" t="s">
        <v>849</v>
      </c>
      <c r="G34" s="1379" t="s">
        <v>850</v>
      </c>
      <c r="H34" s="1377" t="s">
        <v>870</v>
      </c>
      <c r="I34" s="1377" t="s">
        <v>852</v>
      </c>
      <c r="J34" s="1377"/>
      <c r="K34" s="1377"/>
      <c r="L34" s="1377" t="s">
        <v>852</v>
      </c>
      <c r="M34" s="1384" t="s">
        <v>852</v>
      </c>
      <c r="N34" s="1377"/>
      <c r="O34" s="1377"/>
      <c r="P34" s="1377"/>
      <c r="Q34" s="1377"/>
      <c r="R34" s="1388" t="s">
        <v>939</v>
      </c>
      <c r="S34" s="1388" t="s">
        <v>854</v>
      </c>
      <c r="T34" s="1388" t="s">
        <v>854</v>
      </c>
      <c r="U34" s="1388">
        <v>4</v>
      </c>
      <c r="V34" s="1388"/>
      <c r="W34" s="1388"/>
      <c r="X34" s="1388"/>
      <c r="Y34" s="1388"/>
      <c r="Z34" s="1388"/>
      <c r="AA34" s="1388"/>
      <c r="AB34" s="1390"/>
      <c r="AC34" s="1388"/>
      <c r="AD34" s="1388"/>
      <c r="AE34" s="1388"/>
      <c r="AF34" s="1388"/>
      <c r="AG34" s="1388"/>
      <c r="AH34" s="1388"/>
      <c r="AI34" s="1388"/>
      <c r="AJ34" s="1388"/>
      <c r="AK34" s="1388"/>
      <c r="AL34" s="1388"/>
      <c r="AM34" s="1388"/>
      <c r="AN34" s="1388"/>
      <c r="AO34" s="1388"/>
      <c r="AP34" s="1388"/>
      <c r="AQ34" s="1388"/>
      <c r="AR34" s="1388"/>
      <c r="AS34" s="1388"/>
      <c r="AT34" s="1388"/>
      <c r="AU34" s="1388"/>
      <c r="AV34" s="1388"/>
      <c r="AW34" s="1388"/>
      <c r="AX34" s="1391"/>
      <c r="AY34" s="1388"/>
      <c r="AZ34" s="1591"/>
    </row>
    <row r="35" spans="1:52" ht="68" hidden="1" thickBot="1" x14ac:dyDescent="0.6">
      <c r="A35" s="1367"/>
      <c r="B35" s="1590" t="s">
        <v>867</v>
      </c>
      <c r="C35" s="1414" t="s">
        <v>940</v>
      </c>
      <c r="D35" s="1391" t="s">
        <v>941</v>
      </c>
      <c r="E35" s="1415" t="s">
        <v>848</v>
      </c>
      <c r="F35" s="1388" t="s">
        <v>849</v>
      </c>
      <c r="G35" s="1379" t="s">
        <v>850</v>
      </c>
      <c r="H35" s="1377" t="s">
        <v>870</v>
      </c>
      <c r="I35" s="1377" t="s">
        <v>852</v>
      </c>
      <c r="J35" s="1377"/>
      <c r="K35" s="1377"/>
      <c r="L35" s="1377" t="s">
        <v>852</v>
      </c>
      <c r="M35" s="1384" t="s">
        <v>852</v>
      </c>
      <c r="N35" s="1377"/>
      <c r="O35" s="1377"/>
      <c r="P35" s="1377"/>
      <c r="Q35" s="1377"/>
      <c r="R35" s="1388" t="s">
        <v>939</v>
      </c>
      <c r="S35" s="1388" t="s">
        <v>854</v>
      </c>
      <c r="T35" s="1388" t="s">
        <v>854</v>
      </c>
      <c r="U35" s="1388">
        <v>4</v>
      </c>
      <c r="V35" s="1388"/>
      <c r="W35" s="1388"/>
      <c r="X35" s="1388"/>
      <c r="Y35" s="1388"/>
      <c r="Z35" s="1388"/>
      <c r="AA35" s="1388"/>
      <c r="AB35" s="1390"/>
      <c r="AC35" s="1388"/>
      <c r="AD35" s="1388"/>
      <c r="AE35" s="1388"/>
      <c r="AF35" s="1388"/>
      <c r="AG35" s="1388"/>
      <c r="AH35" s="1388"/>
      <c r="AI35" s="1388"/>
      <c r="AJ35" s="1388"/>
      <c r="AK35" s="1388"/>
      <c r="AL35" s="1388"/>
      <c r="AM35" s="1388"/>
      <c r="AN35" s="1388"/>
      <c r="AO35" s="1388"/>
      <c r="AP35" s="1388"/>
      <c r="AQ35" s="1388"/>
      <c r="AR35" s="1388"/>
      <c r="AS35" s="1388"/>
      <c r="AT35" s="1388"/>
      <c r="AU35" s="1388"/>
      <c r="AV35" s="1388"/>
      <c r="AW35" s="1388"/>
      <c r="AX35" s="1391"/>
      <c r="AY35" s="1388"/>
      <c r="AZ35" s="1591"/>
    </row>
    <row r="36" spans="1:52" ht="71" hidden="1" thickBot="1" x14ac:dyDescent="0.6">
      <c r="A36" s="1367"/>
      <c r="B36" s="1590" t="s">
        <v>867</v>
      </c>
      <c r="C36" s="1414" t="s">
        <v>942</v>
      </c>
      <c r="D36" s="1391" t="s">
        <v>943</v>
      </c>
      <c r="E36" s="1415" t="s">
        <v>944</v>
      </c>
      <c r="F36" s="1388" t="s">
        <v>849</v>
      </c>
      <c r="G36" s="1379" t="s">
        <v>850</v>
      </c>
      <c r="H36" s="1377" t="s">
        <v>870</v>
      </c>
      <c r="I36" s="1377" t="s">
        <v>853</v>
      </c>
      <c r="J36" s="1377"/>
      <c r="K36" s="1377"/>
      <c r="L36" s="1377" t="s">
        <v>852</v>
      </c>
      <c r="M36" s="1384" t="s">
        <v>852</v>
      </c>
      <c r="N36" s="1377"/>
      <c r="O36" s="1377"/>
      <c r="P36" s="1377"/>
      <c r="Q36" s="1377"/>
      <c r="R36" s="1388" t="s">
        <v>945</v>
      </c>
      <c r="S36" s="1388" t="s">
        <v>946</v>
      </c>
      <c r="T36" s="1381" t="s">
        <v>85</v>
      </c>
      <c r="U36" s="1388" t="s">
        <v>947</v>
      </c>
      <c r="V36" s="1388"/>
      <c r="W36" s="1388"/>
      <c r="X36" s="1388"/>
      <c r="Y36" s="1388"/>
      <c r="Z36" s="1388"/>
      <c r="AA36" s="1388"/>
      <c r="AB36" s="1390"/>
      <c r="AC36" s="1388"/>
      <c r="AD36" s="1388"/>
      <c r="AE36" s="1388"/>
      <c r="AF36" s="1388"/>
      <c r="AG36" s="1388"/>
      <c r="AH36" s="1388"/>
      <c r="AI36" s="1388"/>
      <c r="AJ36" s="1388"/>
      <c r="AK36" s="1388"/>
      <c r="AL36" s="1388"/>
      <c r="AM36" s="1388"/>
      <c r="AN36" s="1388"/>
      <c r="AO36" s="1388"/>
      <c r="AP36" s="1388"/>
      <c r="AQ36" s="1388"/>
      <c r="AR36" s="1388"/>
      <c r="AS36" s="1388"/>
      <c r="AT36" s="1388"/>
      <c r="AU36" s="1388"/>
      <c r="AV36" s="1388"/>
      <c r="AW36" s="1388"/>
      <c r="AX36" s="1391"/>
      <c r="AY36" s="1388"/>
      <c r="AZ36" s="1591"/>
    </row>
    <row r="37" spans="1:52" ht="113" hidden="1" thickBot="1" x14ac:dyDescent="0.6">
      <c r="A37" s="1367"/>
      <c r="B37" s="1590" t="s">
        <v>867</v>
      </c>
      <c r="C37" s="1414" t="s">
        <v>948</v>
      </c>
      <c r="D37" s="1391" t="s">
        <v>949</v>
      </c>
      <c r="E37" s="1415" t="s">
        <v>944</v>
      </c>
      <c r="F37" s="1388" t="s">
        <v>849</v>
      </c>
      <c r="G37" s="1379" t="s">
        <v>850</v>
      </c>
      <c r="H37" s="1377" t="s">
        <v>870</v>
      </c>
      <c r="I37" s="1377" t="s">
        <v>853</v>
      </c>
      <c r="J37" s="1377"/>
      <c r="K37" s="1377"/>
      <c r="L37" s="1377" t="s">
        <v>852</v>
      </c>
      <c r="M37" s="1384" t="s">
        <v>852</v>
      </c>
      <c r="N37" s="1377"/>
      <c r="O37" s="1377"/>
      <c r="P37" s="1377"/>
      <c r="Q37" s="1377"/>
      <c r="R37" s="1388" t="s">
        <v>950</v>
      </c>
      <c r="S37" s="1388" t="s">
        <v>946</v>
      </c>
      <c r="T37" s="1381" t="s">
        <v>85</v>
      </c>
      <c r="U37" s="1388" t="s">
        <v>947</v>
      </c>
      <c r="V37" s="1388"/>
      <c r="W37" s="1388"/>
      <c r="X37" s="1388"/>
      <c r="Y37" s="1388"/>
      <c r="Z37" s="1388"/>
      <c r="AA37" s="1388"/>
      <c r="AB37" s="1390"/>
      <c r="AC37" s="1388"/>
      <c r="AD37" s="1388"/>
      <c r="AE37" s="1388"/>
      <c r="AF37" s="1388"/>
      <c r="AG37" s="1388"/>
      <c r="AH37" s="1388"/>
      <c r="AI37" s="1388"/>
      <c r="AJ37" s="1388"/>
      <c r="AK37" s="1388"/>
      <c r="AL37" s="1388"/>
      <c r="AM37" s="1388"/>
      <c r="AN37" s="1388"/>
      <c r="AO37" s="1388"/>
      <c r="AP37" s="1388"/>
      <c r="AQ37" s="1388"/>
      <c r="AR37" s="1388"/>
      <c r="AS37" s="1388"/>
      <c r="AT37" s="1388"/>
      <c r="AU37" s="1388"/>
      <c r="AV37" s="1388"/>
      <c r="AW37" s="1388"/>
      <c r="AX37" s="1391"/>
      <c r="AY37" s="1388"/>
      <c r="AZ37" s="1591"/>
    </row>
    <row r="38" spans="1:52" ht="113" hidden="1" thickBot="1" x14ac:dyDescent="0.6">
      <c r="A38" s="1367"/>
      <c r="B38" s="1590" t="s">
        <v>867</v>
      </c>
      <c r="C38" s="1414" t="s">
        <v>951</v>
      </c>
      <c r="D38" s="1391" t="s">
        <v>952</v>
      </c>
      <c r="E38" s="1415" t="s">
        <v>944</v>
      </c>
      <c r="F38" s="1388" t="s">
        <v>849</v>
      </c>
      <c r="G38" s="1379" t="s">
        <v>850</v>
      </c>
      <c r="H38" s="1377" t="s">
        <v>870</v>
      </c>
      <c r="I38" s="1377" t="s">
        <v>853</v>
      </c>
      <c r="J38" s="1377"/>
      <c r="K38" s="1377"/>
      <c r="L38" s="1377" t="s">
        <v>852</v>
      </c>
      <c r="M38" s="1384" t="s">
        <v>852</v>
      </c>
      <c r="N38" s="1377"/>
      <c r="O38" s="1377"/>
      <c r="P38" s="1377"/>
      <c r="Q38" s="1377"/>
      <c r="R38" s="1388" t="s">
        <v>953</v>
      </c>
      <c r="S38" s="1388" t="s">
        <v>946</v>
      </c>
      <c r="T38" s="1381" t="s">
        <v>85</v>
      </c>
      <c r="U38" s="1388" t="s">
        <v>947</v>
      </c>
      <c r="V38" s="1388"/>
      <c r="W38" s="1388"/>
      <c r="X38" s="1388"/>
      <c r="Y38" s="1388"/>
      <c r="Z38" s="1388"/>
      <c r="AA38" s="1388"/>
      <c r="AB38" s="1390"/>
      <c r="AC38" s="1388"/>
      <c r="AD38" s="1388"/>
      <c r="AE38" s="1388"/>
      <c r="AF38" s="1388"/>
      <c r="AG38" s="1388"/>
      <c r="AH38" s="1388"/>
      <c r="AI38" s="1388"/>
      <c r="AJ38" s="1388"/>
      <c r="AK38" s="1388"/>
      <c r="AL38" s="1388"/>
      <c r="AM38" s="1388"/>
      <c r="AN38" s="1388"/>
      <c r="AO38" s="1388"/>
      <c r="AP38" s="1388"/>
      <c r="AQ38" s="1388"/>
      <c r="AR38" s="1388"/>
      <c r="AS38" s="1388"/>
      <c r="AT38" s="1388"/>
      <c r="AU38" s="1388"/>
      <c r="AV38" s="1388"/>
      <c r="AW38" s="1388"/>
      <c r="AX38" s="1391"/>
      <c r="AY38" s="1388"/>
      <c r="AZ38" s="1591"/>
    </row>
    <row r="39" spans="1:52" ht="90.5" hidden="1" thickBot="1" x14ac:dyDescent="0.6">
      <c r="A39" s="1367"/>
      <c r="B39" s="1590" t="s">
        <v>867</v>
      </c>
      <c r="C39" s="1414" t="s">
        <v>954</v>
      </c>
      <c r="D39" s="1391" t="s">
        <v>955</v>
      </c>
      <c r="E39" s="1415" t="s">
        <v>956</v>
      </c>
      <c r="F39" s="1388" t="s">
        <v>849</v>
      </c>
      <c r="G39" s="1379" t="s">
        <v>850</v>
      </c>
      <c r="H39" s="1377" t="s">
        <v>870</v>
      </c>
      <c r="I39" s="1377" t="s">
        <v>853</v>
      </c>
      <c r="J39" s="1377"/>
      <c r="K39" s="1377"/>
      <c r="L39" s="1377" t="s">
        <v>852</v>
      </c>
      <c r="M39" s="1384" t="s">
        <v>852</v>
      </c>
      <c r="N39" s="1377"/>
      <c r="O39" s="1377"/>
      <c r="P39" s="1377"/>
      <c r="Q39" s="1377"/>
      <c r="R39" s="1388" t="s">
        <v>939</v>
      </c>
      <c r="S39" s="1388" t="s">
        <v>957</v>
      </c>
      <c r="T39" s="1381" t="s">
        <v>85</v>
      </c>
      <c r="U39" s="1388">
        <v>0</v>
      </c>
      <c r="V39" s="1388"/>
      <c r="W39" s="1388"/>
      <c r="X39" s="1388"/>
      <c r="Y39" s="1388"/>
      <c r="Z39" s="1388"/>
      <c r="AA39" s="1388"/>
      <c r="AB39" s="1390"/>
      <c r="AC39" s="1388"/>
      <c r="AD39" s="1388"/>
      <c r="AE39" s="1388"/>
      <c r="AF39" s="1388"/>
      <c r="AG39" s="1388"/>
      <c r="AH39" s="1388"/>
      <c r="AI39" s="1388"/>
      <c r="AJ39" s="1388"/>
      <c r="AK39" s="1388"/>
      <c r="AL39" s="1388"/>
      <c r="AM39" s="1388"/>
      <c r="AN39" s="1388"/>
      <c r="AO39" s="1388"/>
      <c r="AP39" s="1388"/>
      <c r="AQ39" s="1388"/>
      <c r="AR39" s="1388"/>
      <c r="AS39" s="1388"/>
      <c r="AT39" s="1388"/>
      <c r="AU39" s="1388"/>
      <c r="AV39" s="1388"/>
      <c r="AW39" s="1388"/>
      <c r="AX39" s="1391"/>
      <c r="AY39" s="1388"/>
      <c r="AZ39" s="1591"/>
    </row>
    <row r="40" spans="1:52" ht="90.5" hidden="1" thickBot="1" x14ac:dyDescent="0.6">
      <c r="A40" s="1367"/>
      <c r="B40" s="1590" t="s">
        <v>867</v>
      </c>
      <c r="C40" s="1414" t="s">
        <v>958</v>
      </c>
      <c r="D40" s="1391" t="s">
        <v>959</v>
      </c>
      <c r="E40" s="1415" t="s">
        <v>956</v>
      </c>
      <c r="F40" s="1388" t="s">
        <v>849</v>
      </c>
      <c r="G40" s="1379" t="s">
        <v>850</v>
      </c>
      <c r="H40" s="1377" t="s">
        <v>870</v>
      </c>
      <c r="I40" s="1377" t="s">
        <v>853</v>
      </c>
      <c r="J40" s="1377"/>
      <c r="K40" s="1377"/>
      <c r="L40" s="1377" t="s">
        <v>852</v>
      </c>
      <c r="M40" s="1384" t="s">
        <v>852</v>
      </c>
      <c r="N40" s="1377"/>
      <c r="O40" s="1377"/>
      <c r="P40" s="1377"/>
      <c r="Q40" s="1377"/>
      <c r="R40" s="1388" t="s">
        <v>939</v>
      </c>
      <c r="S40" s="1388" t="s">
        <v>957</v>
      </c>
      <c r="T40" s="1381" t="s">
        <v>85</v>
      </c>
      <c r="U40" s="1388">
        <v>0</v>
      </c>
      <c r="V40" s="1388"/>
      <c r="W40" s="1388"/>
      <c r="X40" s="1388"/>
      <c r="Y40" s="1388"/>
      <c r="Z40" s="1388"/>
      <c r="AA40" s="1388"/>
      <c r="AB40" s="1390"/>
      <c r="AC40" s="1388"/>
      <c r="AD40" s="1388"/>
      <c r="AE40" s="1388"/>
      <c r="AF40" s="1388"/>
      <c r="AG40" s="1388"/>
      <c r="AH40" s="1388"/>
      <c r="AI40" s="1388"/>
      <c r="AJ40" s="1388"/>
      <c r="AK40" s="1388"/>
      <c r="AL40" s="1388"/>
      <c r="AM40" s="1388"/>
      <c r="AN40" s="1388"/>
      <c r="AO40" s="1388"/>
      <c r="AP40" s="1388"/>
      <c r="AQ40" s="1388"/>
      <c r="AR40" s="1388"/>
      <c r="AS40" s="1388"/>
      <c r="AT40" s="1388"/>
      <c r="AU40" s="1388"/>
      <c r="AV40" s="1388"/>
      <c r="AW40" s="1388"/>
      <c r="AX40" s="1391"/>
      <c r="AY40" s="1388"/>
      <c r="AZ40" s="1591"/>
    </row>
    <row r="41" spans="1:52" ht="90.5" hidden="1" thickBot="1" x14ac:dyDescent="0.6">
      <c r="A41" s="1367"/>
      <c r="B41" s="1590" t="s">
        <v>867</v>
      </c>
      <c r="C41" s="1414" t="s">
        <v>960</v>
      </c>
      <c r="D41" s="1391" t="s">
        <v>961</v>
      </c>
      <c r="E41" s="1415" t="s">
        <v>956</v>
      </c>
      <c r="F41" s="1388" t="s">
        <v>849</v>
      </c>
      <c r="G41" s="1379" t="s">
        <v>850</v>
      </c>
      <c r="H41" s="1377" t="s">
        <v>870</v>
      </c>
      <c r="I41" s="1377" t="s">
        <v>853</v>
      </c>
      <c r="J41" s="1377"/>
      <c r="K41" s="1377"/>
      <c r="L41" s="1377" t="s">
        <v>852</v>
      </c>
      <c r="M41" s="1384" t="s">
        <v>852</v>
      </c>
      <c r="N41" s="1377"/>
      <c r="O41" s="1377"/>
      <c r="P41" s="1377"/>
      <c r="Q41" s="1377"/>
      <c r="R41" s="1388" t="s">
        <v>939</v>
      </c>
      <c r="S41" s="1388" t="s">
        <v>957</v>
      </c>
      <c r="T41" s="1381" t="s">
        <v>85</v>
      </c>
      <c r="U41" s="1388">
        <v>0</v>
      </c>
      <c r="V41" s="1388"/>
      <c r="W41" s="1388"/>
      <c r="X41" s="1388"/>
      <c r="Y41" s="1388"/>
      <c r="Z41" s="1388"/>
      <c r="AA41" s="1388"/>
      <c r="AB41" s="1390"/>
      <c r="AC41" s="1388"/>
      <c r="AD41" s="1388"/>
      <c r="AE41" s="1388"/>
      <c r="AF41" s="1388"/>
      <c r="AG41" s="1388"/>
      <c r="AH41" s="1388"/>
      <c r="AI41" s="1388"/>
      <c r="AJ41" s="1388"/>
      <c r="AK41" s="1388"/>
      <c r="AL41" s="1388"/>
      <c r="AM41" s="1388"/>
      <c r="AN41" s="1388"/>
      <c r="AO41" s="1388"/>
      <c r="AP41" s="1388"/>
      <c r="AQ41" s="1388"/>
      <c r="AR41" s="1388"/>
      <c r="AS41" s="1388"/>
      <c r="AT41" s="1388"/>
      <c r="AU41" s="1388"/>
      <c r="AV41" s="1388"/>
      <c r="AW41" s="1388"/>
      <c r="AX41" s="1391"/>
      <c r="AY41" s="1388"/>
      <c r="AZ41" s="1591"/>
    </row>
    <row r="42" spans="1:52" ht="90.5" hidden="1" thickBot="1" x14ac:dyDescent="0.6">
      <c r="A42" s="1367"/>
      <c r="B42" s="1590" t="s">
        <v>867</v>
      </c>
      <c r="C42" s="1414" t="s">
        <v>962</v>
      </c>
      <c r="D42" s="1391" t="s">
        <v>963</v>
      </c>
      <c r="E42" s="1415" t="s">
        <v>956</v>
      </c>
      <c r="F42" s="1388" t="s">
        <v>849</v>
      </c>
      <c r="G42" s="1379" t="s">
        <v>850</v>
      </c>
      <c r="H42" s="1377" t="s">
        <v>870</v>
      </c>
      <c r="I42" s="1377" t="s">
        <v>853</v>
      </c>
      <c r="J42" s="1377"/>
      <c r="K42" s="1377"/>
      <c r="L42" s="1377" t="s">
        <v>852</v>
      </c>
      <c r="M42" s="1384" t="s">
        <v>852</v>
      </c>
      <c r="N42" s="1377"/>
      <c r="O42" s="1377"/>
      <c r="P42" s="1377"/>
      <c r="Q42" s="1377"/>
      <c r="R42" s="1388" t="s">
        <v>939</v>
      </c>
      <c r="S42" s="1388" t="s">
        <v>957</v>
      </c>
      <c r="T42" s="1381" t="s">
        <v>85</v>
      </c>
      <c r="U42" s="1388">
        <v>0</v>
      </c>
      <c r="V42" s="1388"/>
      <c r="W42" s="1388"/>
      <c r="X42" s="1388"/>
      <c r="Y42" s="1388"/>
      <c r="Z42" s="1388"/>
      <c r="AA42" s="1388"/>
      <c r="AB42" s="1390"/>
      <c r="AC42" s="1388"/>
      <c r="AD42" s="1388"/>
      <c r="AE42" s="1388"/>
      <c r="AF42" s="1388"/>
      <c r="AG42" s="1388"/>
      <c r="AH42" s="1388"/>
      <c r="AI42" s="1388"/>
      <c r="AJ42" s="1388"/>
      <c r="AK42" s="1388"/>
      <c r="AL42" s="1388"/>
      <c r="AM42" s="1388"/>
      <c r="AN42" s="1388"/>
      <c r="AO42" s="1388"/>
      <c r="AP42" s="1388"/>
      <c r="AQ42" s="1388"/>
      <c r="AR42" s="1388"/>
      <c r="AS42" s="1388"/>
      <c r="AT42" s="1388"/>
      <c r="AU42" s="1388"/>
      <c r="AV42" s="1388"/>
      <c r="AW42" s="1388"/>
      <c r="AX42" s="1391"/>
      <c r="AY42" s="1388"/>
      <c r="AZ42" s="1591"/>
    </row>
    <row r="43" spans="1:52" ht="71" hidden="1" thickBot="1" x14ac:dyDescent="0.6">
      <c r="A43" s="1367"/>
      <c r="B43" s="1590" t="s">
        <v>867</v>
      </c>
      <c r="C43" s="1414" t="s">
        <v>964</v>
      </c>
      <c r="D43" s="1391" t="s">
        <v>965</v>
      </c>
      <c r="E43" s="1415" t="s">
        <v>944</v>
      </c>
      <c r="F43" s="1388" t="s">
        <v>849</v>
      </c>
      <c r="G43" s="1379" t="s">
        <v>850</v>
      </c>
      <c r="H43" s="1377" t="s">
        <v>870</v>
      </c>
      <c r="I43" s="1377" t="s">
        <v>853</v>
      </c>
      <c r="J43" s="1377"/>
      <c r="K43" s="1377"/>
      <c r="L43" s="1377" t="s">
        <v>852</v>
      </c>
      <c r="M43" s="1384" t="s">
        <v>852</v>
      </c>
      <c r="N43" s="1377"/>
      <c r="O43" s="1377"/>
      <c r="P43" s="1377"/>
      <c r="Q43" s="1377"/>
      <c r="R43" s="1388" t="s">
        <v>966</v>
      </c>
      <c r="S43" s="1388" t="s">
        <v>206</v>
      </c>
      <c r="T43" s="1381" t="s">
        <v>85</v>
      </c>
      <c r="U43" s="1388">
        <v>5</v>
      </c>
      <c r="V43" s="1388"/>
      <c r="W43" s="1388"/>
      <c r="X43" s="1388"/>
      <c r="Y43" s="1388"/>
      <c r="Z43" s="1388"/>
      <c r="AA43" s="1388"/>
      <c r="AB43" s="1390"/>
      <c r="AC43" s="1388"/>
      <c r="AD43" s="1388"/>
      <c r="AE43" s="1388"/>
      <c r="AF43" s="1388"/>
      <c r="AG43" s="1388"/>
      <c r="AH43" s="1388"/>
      <c r="AI43" s="1388"/>
      <c r="AJ43" s="1388"/>
      <c r="AK43" s="1388"/>
      <c r="AL43" s="1388"/>
      <c r="AM43" s="1388"/>
      <c r="AN43" s="1388"/>
      <c r="AO43" s="1388"/>
      <c r="AP43" s="1388"/>
      <c r="AQ43" s="1388"/>
      <c r="AR43" s="1388"/>
      <c r="AS43" s="1388"/>
      <c r="AT43" s="1388"/>
      <c r="AU43" s="1388"/>
      <c r="AV43" s="1388"/>
      <c r="AW43" s="1388"/>
      <c r="AX43" s="1391"/>
      <c r="AY43" s="1388"/>
      <c r="AZ43" s="1591"/>
    </row>
    <row r="44" spans="1:52" ht="135.5" hidden="1" thickBot="1" x14ac:dyDescent="0.6">
      <c r="A44" s="1367"/>
      <c r="B44" s="1590" t="s">
        <v>867</v>
      </c>
      <c r="C44" s="1414" t="s">
        <v>967</v>
      </c>
      <c r="D44" s="1391" t="s">
        <v>968</v>
      </c>
      <c r="E44" s="1415" t="s">
        <v>944</v>
      </c>
      <c r="F44" s="1388" t="s">
        <v>849</v>
      </c>
      <c r="G44" s="1379" t="s">
        <v>850</v>
      </c>
      <c r="H44" s="1377" t="s">
        <v>870</v>
      </c>
      <c r="I44" s="1377" t="s">
        <v>853</v>
      </c>
      <c r="J44" s="1377"/>
      <c r="K44" s="1377"/>
      <c r="L44" s="1377" t="s">
        <v>852</v>
      </c>
      <c r="M44" s="1384" t="s">
        <v>852</v>
      </c>
      <c r="N44" s="1377"/>
      <c r="O44" s="1377"/>
      <c r="P44" s="1377"/>
      <c r="Q44" s="1377"/>
      <c r="R44" s="1388" t="s">
        <v>969</v>
      </c>
      <c r="S44" s="1388" t="s">
        <v>970</v>
      </c>
      <c r="T44" s="1381" t="s">
        <v>85</v>
      </c>
      <c r="U44" s="1388">
        <v>0</v>
      </c>
      <c r="V44" s="1388"/>
      <c r="W44" s="1388"/>
      <c r="X44" s="1388"/>
      <c r="Y44" s="1388"/>
      <c r="Z44" s="1388"/>
      <c r="AA44" s="1388"/>
      <c r="AB44" s="1390"/>
      <c r="AC44" s="1388"/>
      <c r="AD44" s="1388"/>
      <c r="AE44" s="1388"/>
      <c r="AF44" s="1388"/>
      <c r="AG44" s="1388"/>
      <c r="AH44" s="1388"/>
      <c r="AI44" s="1388"/>
      <c r="AJ44" s="1388"/>
      <c r="AK44" s="1388"/>
      <c r="AL44" s="1388"/>
      <c r="AM44" s="1388"/>
      <c r="AN44" s="1388"/>
      <c r="AO44" s="1388"/>
      <c r="AP44" s="1388"/>
      <c r="AQ44" s="1388"/>
      <c r="AR44" s="1388"/>
      <c r="AS44" s="1388"/>
      <c r="AT44" s="1388"/>
      <c r="AU44" s="1388"/>
      <c r="AV44" s="1388"/>
      <c r="AW44" s="1388"/>
      <c r="AX44" s="1391"/>
      <c r="AY44" s="1388"/>
      <c r="AZ44" s="1591"/>
    </row>
    <row r="45" spans="1:52" ht="71" hidden="1" thickBot="1" x14ac:dyDescent="0.6">
      <c r="A45" s="1367"/>
      <c r="B45" s="1590" t="s">
        <v>867</v>
      </c>
      <c r="C45" s="1414" t="s">
        <v>971</v>
      </c>
      <c r="D45" s="1391" t="s">
        <v>972</v>
      </c>
      <c r="E45" s="1415" t="s">
        <v>944</v>
      </c>
      <c r="F45" s="1388" t="s">
        <v>849</v>
      </c>
      <c r="G45" s="1379" t="s">
        <v>850</v>
      </c>
      <c r="H45" s="1377" t="s">
        <v>870</v>
      </c>
      <c r="I45" s="1377" t="s">
        <v>853</v>
      </c>
      <c r="J45" s="1377"/>
      <c r="K45" s="1377"/>
      <c r="L45" s="1377" t="s">
        <v>852</v>
      </c>
      <c r="M45" s="1384" t="s">
        <v>852</v>
      </c>
      <c r="N45" s="1377"/>
      <c r="O45" s="1377"/>
      <c r="P45" s="1377"/>
      <c r="Q45" s="1377"/>
      <c r="R45" s="1388" t="s">
        <v>973</v>
      </c>
      <c r="S45" s="1388" t="s">
        <v>970</v>
      </c>
      <c r="T45" s="1381" t="s">
        <v>85</v>
      </c>
      <c r="U45" s="1388">
        <v>0</v>
      </c>
      <c r="V45" s="1388"/>
      <c r="W45" s="1388"/>
      <c r="X45" s="1388"/>
      <c r="Y45" s="1388"/>
      <c r="Z45" s="1388"/>
      <c r="AA45" s="1388"/>
      <c r="AB45" s="1390"/>
      <c r="AC45" s="1388"/>
      <c r="AD45" s="1388"/>
      <c r="AE45" s="1388"/>
      <c r="AF45" s="1388"/>
      <c r="AG45" s="1388"/>
      <c r="AH45" s="1388"/>
      <c r="AI45" s="1388"/>
      <c r="AJ45" s="1388"/>
      <c r="AK45" s="1388"/>
      <c r="AL45" s="1388"/>
      <c r="AM45" s="1388"/>
      <c r="AN45" s="1388"/>
      <c r="AO45" s="1388"/>
      <c r="AP45" s="1388"/>
      <c r="AQ45" s="1388"/>
      <c r="AR45" s="1388"/>
      <c r="AS45" s="1388"/>
      <c r="AT45" s="1388"/>
      <c r="AU45" s="1388"/>
      <c r="AV45" s="1388"/>
      <c r="AW45" s="1388"/>
      <c r="AX45" s="1391"/>
      <c r="AY45" s="1388"/>
      <c r="AZ45" s="1591"/>
    </row>
    <row r="46" spans="1:52" ht="71" hidden="1" thickBot="1" x14ac:dyDescent="0.6">
      <c r="A46" s="1367"/>
      <c r="B46" s="1590" t="s">
        <v>867</v>
      </c>
      <c r="C46" s="1414" t="s">
        <v>974</v>
      </c>
      <c r="D46" s="1391" t="s">
        <v>975</v>
      </c>
      <c r="E46" s="1415" t="s">
        <v>944</v>
      </c>
      <c r="F46" s="1388" t="s">
        <v>849</v>
      </c>
      <c r="G46" s="1379" t="s">
        <v>850</v>
      </c>
      <c r="H46" s="1377" t="s">
        <v>870</v>
      </c>
      <c r="I46" s="1377" t="s">
        <v>853</v>
      </c>
      <c r="J46" s="1377"/>
      <c r="K46" s="1377"/>
      <c r="L46" s="1377" t="s">
        <v>852</v>
      </c>
      <c r="M46" s="1384" t="s">
        <v>852</v>
      </c>
      <c r="N46" s="1377"/>
      <c r="O46" s="1377"/>
      <c r="P46" s="1377"/>
      <c r="Q46" s="1377"/>
      <c r="R46" s="1388" t="s">
        <v>973</v>
      </c>
      <c r="S46" s="1388" t="s">
        <v>970</v>
      </c>
      <c r="T46" s="1381" t="s">
        <v>85</v>
      </c>
      <c r="U46" s="1388">
        <v>0</v>
      </c>
      <c r="V46" s="1388"/>
      <c r="W46" s="1388"/>
      <c r="X46" s="1388"/>
      <c r="Y46" s="1388"/>
      <c r="Z46" s="1388"/>
      <c r="AA46" s="1388"/>
      <c r="AB46" s="1390"/>
      <c r="AC46" s="1388"/>
      <c r="AD46" s="1388"/>
      <c r="AE46" s="1388"/>
      <c r="AF46" s="1388"/>
      <c r="AG46" s="1388"/>
      <c r="AH46" s="1388"/>
      <c r="AI46" s="1388"/>
      <c r="AJ46" s="1388"/>
      <c r="AK46" s="1388"/>
      <c r="AL46" s="1388"/>
      <c r="AM46" s="1388"/>
      <c r="AN46" s="1388"/>
      <c r="AO46" s="1388"/>
      <c r="AP46" s="1388"/>
      <c r="AQ46" s="1388"/>
      <c r="AR46" s="1388"/>
      <c r="AS46" s="1388"/>
      <c r="AT46" s="1388"/>
      <c r="AU46" s="1388"/>
      <c r="AV46" s="1388"/>
      <c r="AW46" s="1388"/>
      <c r="AX46" s="1391"/>
      <c r="AY46" s="1388"/>
      <c r="AZ46" s="1591"/>
    </row>
    <row r="47" spans="1:52" ht="360.5" hidden="1" thickBot="1" x14ac:dyDescent="0.6">
      <c r="A47" s="1367"/>
      <c r="B47" s="1590" t="s">
        <v>867</v>
      </c>
      <c r="C47" s="1414" t="s">
        <v>976</v>
      </c>
      <c r="D47" s="1391" t="s">
        <v>977</v>
      </c>
      <c r="E47" s="1415" t="s">
        <v>978</v>
      </c>
      <c r="F47" s="1388" t="s">
        <v>849</v>
      </c>
      <c r="G47" s="1379" t="s">
        <v>850</v>
      </c>
      <c r="H47" s="1377" t="s">
        <v>870</v>
      </c>
      <c r="I47" s="1377" t="s">
        <v>852</v>
      </c>
      <c r="J47" s="1377"/>
      <c r="K47" s="1377"/>
      <c r="L47" s="1377" t="s">
        <v>852</v>
      </c>
      <c r="M47" s="1384" t="s">
        <v>852</v>
      </c>
      <c r="N47" s="1377"/>
      <c r="O47" s="1377"/>
      <c r="P47" s="1377"/>
      <c r="Q47" s="1377"/>
      <c r="R47" s="1388" t="s">
        <v>979</v>
      </c>
      <c r="S47" s="1388" t="s">
        <v>854</v>
      </c>
      <c r="T47" s="1388" t="s">
        <v>854</v>
      </c>
      <c r="U47" s="1388">
        <v>0</v>
      </c>
      <c r="V47" s="1388"/>
      <c r="W47" s="1388"/>
      <c r="X47" s="1388"/>
      <c r="Y47" s="1388"/>
      <c r="Z47" s="1388"/>
      <c r="AA47" s="1388"/>
      <c r="AB47" s="1390"/>
      <c r="AC47" s="1388"/>
      <c r="AD47" s="1388"/>
      <c r="AE47" s="1388"/>
      <c r="AF47" s="1388"/>
      <c r="AG47" s="1388"/>
      <c r="AH47" s="1388"/>
      <c r="AI47" s="1388"/>
      <c r="AJ47" s="1388"/>
      <c r="AK47" s="1388"/>
      <c r="AL47" s="1388"/>
      <c r="AM47" s="1388"/>
      <c r="AN47" s="1388"/>
      <c r="AO47" s="1388"/>
      <c r="AP47" s="1388"/>
      <c r="AQ47" s="1388"/>
      <c r="AR47" s="1388"/>
      <c r="AS47" s="1388"/>
      <c r="AT47" s="1388"/>
      <c r="AU47" s="1388"/>
      <c r="AV47" s="1388"/>
      <c r="AW47" s="1388"/>
      <c r="AX47" s="1391"/>
      <c r="AY47" s="1388"/>
      <c r="AZ47" s="1591"/>
    </row>
    <row r="48" spans="1:52" ht="360.5" hidden="1" thickBot="1" x14ac:dyDescent="0.6">
      <c r="A48" s="1367"/>
      <c r="B48" s="1590" t="s">
        <v>867</v>
      </c>
      <c r="C48" s="1414" t="s">
        <v>980</v>
      </c>
      <c r="D48" s="1391" t="s">
        <v>981</v>
      </c>
      <c r="E48" s="1415" t="s">
        <v>978</v>
      </c>
      <c r="F48" s="1388" t="s">
        <v>849</v>
      </c>
      <c r="G48" s="1379" t="s">
        <v>850</v>
      </c>
      <c r="H48" s="1377" t="s">
        <v>870</v>
      </c>
      <c r="I48" s="1377" t="s">
        <v>852</v>
      </c>
      <c r="J48" s="1377"/>
      <c r="K48" s="1377"/>
      <c r="L48" s="1377" t="s">
        <v>852</v>
      </c>
      <c r="M48" s="1384" t="s">
        <v>852</v>
      </c>
      <c r="N48" s="1377"/>
      <c r="O48" s="1377"/>
      <c r="P48" s="1377"/>
      <c r="Q48" s="1377"/>
      <c r="R48" s="1388" t="s">
        <v>979</v>
      </c>
      <c r="S48" s="1388" t="s">
        <v>854</v>
      </c>
      <c r="T48" s="1388" t="s">
        <v>854</v>
      </c>
      <c r="U48" s="1388">
        <v>0</v>
      </c>
      <c r="V48" s="1388"/>
      <c r="W48" s="1388"/>
      <c r="X48" s="1388"/>
      <c r="Y48" s="1388"/>
      <c r="Z48" s="1388"/>
      <c r="AA48" s="1388"/>
      <c r="AB48" s="1390"/>
      <c r="AC48" s="1388"/>
      <c r="AD48" s="1388"/>
      <c r="AE48" s="1388"/>
      <c r="AF48" s="1388"/>
      <c r="AG48" s="1388"/>
      <c r="AH48" s="1388"/>
      <c r="AI48" s="1388"/>
      <c r="AJ48" s="1388"/>
      <c r="AK48" s="1388"/>
      <c r="AL48" s="1388"/>
      <c r="AM48" s="1388"/>
      <c r="AN48" s="1388"/>
      <c r="AO48" s="1388"/>
      <c r="AP48" s="1388"/>
      <c r="AQ48" s="1388"/>
      <c r="AR48" s="1388"/>
      <c r="AS48" s="1388"/>
      <c r="AT48" s="1388"/>
      <c r="AU48" s="1388"/>
      <c r="AV48" s="1388"/>
      <c r="AW48" s="1388"/>
      <c r="AX48" s="1391"/>
      <c r="AY48" s="1388"/>
      <c r="AZ48" s="1591"/>
    </row>
    <row r="49" spans="1:52" ht="270.5" hidden="1" thickBot="1" x14ac:dyDescent="0.6">
      <c r="A49" s="1367"/>
      <c r="B49" s="1590" t="s">
        <v>867</v>
      </c>
      <c r="C49" s="1414" t="s">
        <v>982</v>
      </c>
      <c r="D49" s="1391" t="s">
        <v>983</v>
      </c>
      <c r="E49" s="1415" t="s">
        <v>978</v>
      </c>
      <c r="F49" s="1388" t="s">
        <v>849</v>
      </c>
      <c r="G49" s="1379" t="s">
        <v>850</v>
      </c>
      <c r="H49" s="1377" t="s">
        <v>870</v>
      </c>
      <c r="I49" s="1377" t="s">
        <v>852</v>
      </c>
      <c r="J49" s="1377"/>
      <c r="K49" s="1377"/>
      <c r="L49" s="1377" t="s">
        <v>852</v>
      </c>
      <c r="M49" s="1384" t="s">
        <v>852</v>
      </c>
      <c r="N49" s="1377"/>
      <c r="O49" s="1377"/>
      <c r="P49" s="1377"/>
      <c r="Q49" s="1377"/>
      <c r="R49" s="1388" t="s">
        <v>984</v>
      </c>
      <c r="S49" s="1388" t="s">
        <v>854</v>
      </c>
      <c r="T49" s="1388" t="s">
        <v>854</v>
      </c>
      <c r="U49" s="1388">
        <v>1.2</v>
      </c>
      <c r="V49" s="1388"/>
      <c r="W49" s="1388"/>
      <c r="X49" s="1388"/>
      <c r="Y49" s="1388"/>
      <c r="Z49" s="1388"/>
      <c r="AA49" s="1388"/>
      <c r="AB49" s="1390"/>
      <c r="AC49" s="1388"/>
      <c r="AD49" s="1388"/>
      <c r="AE49" s="1388"/>
      <c r="AF49" s="1388"/>
      <c r="AG49" s="1388"/>
      <c r="AH49" s="1388"/>
      <c r="AI49" s="1388"/>
      <c r="AJ49" s="1388"/>
      <c r="AK49" s="1388"/>
      <c r="AL49" s="1388"/>
      <c r="AM49" s="1388"/>
      <c r="AN49" s="1388"/>
      <c r="AO49" s="1388"/>
      <c r="AP49" s="1388"/>
      <c r="AQ49" s="1388"/>
      <c r="AR49" s="1388"/>
      <c r="AS49" s="1388"/>
      <c r="AT49" s="1388"/>
      <c r="AU49" s="1388"/>
      <c r="AV49" s="1388"/>
      <c r="AW49" s="1388"/>
      <c r="AX49" s="1391"/>
      <c r="AY49" s="1388"/>
      <c r="AZ49" s="1591"/>
    </row>
    <row r="50" spans="1:52" ht="270.5" hidden="1" thickBot="1" x14ac:dyDescent="0.6">
      <c r="A50" s="1367"/>
      <c r="B50" s="1590" t="s">
        <v>867</v>
      </c>
      <c r="C50" s="1414" t="s">
        <v>985</v>
      </c>
      <c r="D50" s="1391" t="s">
        <v>986</v>
      </c>
      <c r="E50" s="1415" t="s">
        <v>978</v>
      </c>
      <c r="F50" s="1388" t="s">
        <v>849</v>
      </c>
      <c r="G50" s="1379" t="s">
        <v>850</v>
      </c>
      <c r="H50" s="1377" t="s">
        <v>870</v>
      </c>
      <c r="I50" s="1377" t="s">
        <v>852</v>
      </c>
      <c r="J50" s="1377"/>
      <c r="K50" s="1377"/>
      <c r="L50" s="1377" t="s">
        <v>852</v>
      </c>
      <c r="M50" s="1384" t="s">
        <v>852</v>
      </c>
      <c r="N50" s="1377"/>
      <c r="O50" s="1377"/>
      <c r="P50" s="1377"/>
      <c r="Q50" s="1377"/>
      <c r="R50" s="1388" t="s">
        <v>984</v>
      </c>
      <c r="S50" s="1388" t="s">
        <v>854</v>
      </c>
      <c r="T50" s="1388" t="s">
        <v>854</v>
      </c>
      <c r="U50" s="1388">
        <v>1.2</v>
      </c>
      <c r="V50" s="1388"/>
      <c r="W50" s="1388"/>
      <c r="X50" s="1388"/>
      <c r="Y50" s="1388"/>
      <c r="Z50" s="1388"/>
      <c r="AA50" s="1388"/>
      <c r="AB50" s="1390"/>
      <c r="AC50" s="1388"/>
      <c r="AD50" s="1388"/>
      <c r="AE50" s="1388"/>
      <c r="AF50" s="1388"/>
      <c r="AG50" s="1388"/>
      <c r="AH50" s="1388"/>
      <c r="AI50" s="1388"/>
      <c r="AJ50" s="1388"/>
      <c r="AK50" s="1388"/>
      <c r="AL50" s="1388"/>
      <c r="AM50" s="1388"/>
      <c r="AN50" s="1388"/>
      <c r="AO50" s="1388"/>
      <c r="AP50" s="1388"/>
      <c r="AQ50" s="1388"/>
      <c r="AR50" s="1388"/>
      <c r="AS50" s="1388"/>
      <c r="AT50" s="1388"/>
      <c r="AU50" s="1388"/>
      <c r="AV50" s="1388"/>
      <c r="AW50" s="1388"/>
      <c r="AX50" s="1391"/>
      <c r="AY50" s="1388"/>
      <c r="AZ50" s="1591"/>
    </row>
    <row r="51" spans="1:52" ht="270.5" hidden="1" thickBot="1" x14ac:dyDescent="0.6">
      <c r="A51" s="1367"/>
      <c r="B51" s="1590" t="s">
        <v>867</v>
      </c>
      <c r="C51" s="1414" t="s">
        <v>987</v>
      </c>
      <c r="D51" s="1391" t="s">
        <v>988</v>
      </c>
      <c r="E51" s="1415" t="s">
        <v>978</v>
      </c>
      <c r="F51" s="1388" t="s">
        <v>849</v>
      </c>
      <c r="G51" s="1379" t="s">
        <v>850</v>
      </c>
      <c r="H51" s="1377" t="s">
        <v>870</v>
      </c>
      <c r="I51" s="1377" t="s">
        <v>852</v>
      </c>
      <c r="J51" s="1377"/>
      <c r="K51" s="1377"/>
      <c r="L51" s="1377" t="s">
        <v>852</v>
      </c>
      <c r="M51" s="1384" t="s">
        <v>852</v>
      </c>
      <c r="N51" s="1377"/>
      <c r="O51" s="1377"/>
      <c r="P51" s="1377"/>
      <c r="Q51" s="1377"/>
      <c r="R51" s="1388" t="s">
        <v>984</v>
      </c>
      <c r="S51" s="1388" t="s">
        <v>854</v>
      </c>
      <c r="T51" s="1388" t="s">
        <v>854</v>
      </c>
      <c r="U51" s="1388">
        <v>1.2</v>
      </c>
      <c r="V51" s="1388"/>
      <c r="W51" s="1388"/>
      <c r="X51" s="1388"/>
      <c r="Y51" s="1388"/>
      <c r="Z51" s="1388"/>
      <c r="AA51" s="1388"/>
      <c r="AB51" s="1390"/>
      <c r="AC51" s="1388"/>
      <c r="AD51" s="1388"/>
      <c r="AE51" s="1388"/>
      <c r="AF51" s="1388"/>
      <c r="AG51" s="1388"/>
      <c r="AH51" s="1388"/>
      <c r="AI51" s="1388"/>
      <c r="AJ51" s="1388"/>
      <c r="AK51" s="1388"/>
      <c r="AL51" s="1388"/>
      <c r="AM51" s="1388"/>
      <c r="AN51" s="1388"/>
      <c r="AO51" s="1388"/>
      <c r="AP51" s="1388"/>
      <c r="AQ51" s="1388"/>
      <c r="AR51" s="1388"/>
      <c r="AS51" s="1388"/>
      <c r="AT51" s="1388"/>
      <c r="AU51" s="1388"/>
      <c r="AV51" s="1388"/>
      <c r="AW51" s="1388"/>
      <c r="AX51" s="1391"/>
      <c r="AY51" s="1388"/>
      <c r="AZ51" s="1591"/>
    </row>
    <row r="52" spans="1:52" ht="360.5" hidden="1" thickBot="1" x14ac:dyDescent="0.6">
      <c r="A52" s="1367"/>
      <c r="B52" s="1590" t="s">
        <v>867</v>
      </c>
      <c r="C52" s="1414" t="s">
        <v>989</v>
      </c>
      <c r="D52" s="1391" t="s">
        <v>990</v>
      </c>
      <c r="E52" s="1415" t="s">
        <v>978</v>
      </c>
      <c r="F52" s="1388" t="s">
        <v>849</v>
      </c>
      <c r="G52" s="1379" t="s">
        <v>850</v>
      </c>
      <c r="H52" s="1377" t="s">
        <v>870</v>
      </c>
      <c r="I52" s="1377" t="s">
        <v>852</v>
      </c>
      <c r="J52" s="1377"/>
      <c r="K52" s="1377"/>
      <c r="L52" s="1377" t="s">
        <v>852</v>
      </c>
      <c r="M52" s="1384" t="s">
        <v>852</v>
      </c>
      <c r="N52" s="1377"/>
      <c r="O52" s="1377"/>
      <c r="P52" s="1377"/>
      <c r="Q52" s="1377"/>
      <c r="R52" s="1388" t="s">
        <v>991</v>
      </c>
      <c r="S52" s="1388" t="s">
        <v>854</v>
      </c>
      <c r="T52" s="1388" t="s">
        <v>854</v>
      </c>
      <c r="U52" s="1388">
        <v>0</v>
      </c>
      <c r="V52" s="1388"/>
      <c r="W52" s="1388"/>
      <c r="X52" s="1388"/>
      <c r="Y52" s="1388"/>
      <c r="Z52" s="1388"/>
      <c r="AA52" s="1388"/>
      <c r="AB52" s="1390"/>
      <c r="AC52" s="1388"/>
      <c r="AD52" s="1388"/>
      <c r="AE52" s="1388"/>
      <c r="AF52" s="1388"/>
      <c r="AG52" s="1388"/>
      <c r="AH52" s="1388"/>
      <c r="AI52" s="1388"/>
      <c r="AJ52" s="1388"/>
      <c r="AK52" s="1388"/>
      <c r="AL52" s="1388"/>
      <c r="AM52" s="1388"/>
      <c r="AN52" s="1388"/>
      <c r="AO52" s="1388"/>
      <c r="AP52" s="1388"/>
      <c r="AQ52" s="1388"/>
      <c r="AR52" s="1388"/>
      <c r="AS52" s="1388"/>
      <c r="AT52" s="1388"/>
      <c r="AU52" s="1388"/>
      <c r="AV52" s="1388"/>
      <c r="AW52" s="1388"/>
      <c r="AX52" s="1391"/>
      <c r="AY52" s="1388"/>
      <c r="AZ52" s="1591"/>
    </row>
    <row r="53" spans="1:52" ht="360.5" hidden="1" thickBot="1" x14ac:dyDescent="0.6">
      <c r="A53" s="1367"/>
      <c r="B53" s="1590" t="s">
        <v>867</v>
      </c>
      <c r="C53" s="1414" t="s">
        <v>992</v>
      </c>
      <c r="D53" s="1391" t="s">
        <v>993</v>
      </c>
      <c r="E53" s="1415" t="s">
        <v>978</v>
      </c>
      <c r="F53" s="1388" t="s">
        <v>849</v>
      </c>
      <c r="G53" s="1379" t="s">
        <v>850</v>
      </c>
      <c r="H53" s="1377" t="s">
        <v>870</v>
      </c>
      <c r="I53" s="1377" t="s">
        <v>852</v>
      </c>
      <c r="J53" s="1377"/>
      <c r="K53" s="1377"/>
      <c r="L53" s="1377" t="s">
        <v>852</v>
      </c>
      <c r="M53" s="1384" t="s">
        <v>852</v>
      </c>
      <c r="N53" s="1377"/>
      <c r="O53" s="1377"/>
      <c r="P53" s="1377"/>
      <c r="Q53" s="1377"/>
      <c r="R53" s="1388" t="s">
        <v>991</v>
      </c>
      <c r="S53" s="1388" t="s">
        <v>854</v>
      </c>
      <c r="T53" s="1388" t="s">
        <v>854</v>
      </c>
      <c r="U53" s="1388">
        <v>0</v>
      </c>
      <c r="V53" s="1388"/>
      <c r="W53" s="1388"/>
      <c r="X53" s="1388"/>
      <c r="Y53" s="1388"/>
      <c r="Z53" s="1388"/>
      <c r="AA53" s="1388"/>
      <c r="AB53" s="1390"/>
      <c r="AC53" s="1388"/>
      <c r="AD53" s="1388"/>
      <c r="AE53" s="1388"/>
      <c r="AF53" s="1388"/>
      <c r="AG53" s="1388"/>
      <c r="AH53" s="1388"/>
      <c r="AI53" s="1388"/>
      <c r="AJ53" s="1388"/>
      <c r="AK53" s="1388"/>
      <c r="AL53" s="1388"/>
      <c r="AM53" s="1388"/>
      <c r="AN53" s="1388"/>
      <c r="AO53" s="1388"/>
      <c r="AP53" s="1388"/>
      <c r="AQ53" s="1388"/>
      <c r="AR53" s="1388"/>
      <c r="AS53" s="1388"/>
      <c r="AT53" s="1388"/>
      <c r="AU53" s="1388"/>
      <c r="AV53" s="1388"/>
      <c r="AW53" s="1388"/>
      <c r="AX53" s="1391"/>
      <c r="AY53" s="1388"/>
      <c r="AZ53" s="1591"/>
    </row>
    <row r="54" spans="1:52" ht="360.5" hidden="1" thickBot="1" x14ac:dyDescent="0.6">
      <c r="A54" s="1367"/>
      <c r="B54" s="1590" t="s">
        <v>867</v>
      </c>
      <c r="C54" s="1414" t="s">
        <v>994</v>
      </c>
      <c r="D54" s="1391" t="s">
        <v>995</v>
      </c>
      <c r="E54" s="1415" t="s">
        <v>944</v>
      </c>
      <c r="F54" s="1388" t="s">
        <v>849</v>
      </c>
      <c r="G54" s="1379" t="s">
        <v>850</v>
      </c>
      <c r="H54" s="1377" t="s">
        <v>870</v>
      </c>
      <c r="I54" s="1377" t="s">
        <v>853</v>
      </c>
      <c r="J54" s="1377"/>
      <c r="K54" s="1377"/>
      <c r="L54" s="1377" t="s">
        <v>852</v>
      </c>
      <c r="M54" s="1384" t="s">
        <v>852</v>
      </c>
      <c r="N54" s="1377"/>
      <c r="O54" s="1377"/>
      <c r="P54" s="1377"/>
      <c r="Q54" s="1377"/>
      <c r="R54" s="1388" t="s">
        <v>991</v>
      </c>
      <c r="S54" s="1381" t="s">
        <v>996</v>
      </c>
      <c r="T54" s="1381" t="s">
        <v>85</v>
      </c>
      <c r="U54" s="1388">
        <v>0</v>
      </c>
      <c r="V54" s="1388"/>
      <c r="W54" s="1388"/>
      <c r="X54" s="1388"/>
      <c r="Y54" s="1388"/>
      <c r="Z54" s="1388"/>
      <c r="AA54" s="1388"/>
      <c r="AB54" s="1390"/>
      <c r="AC54" s="1388"/>
      <c r="AD54" s="1388"/>
      <c r="AE54" s="1388"/>
      <c r="AF54" s="1388"/>
      <c r="AG54" s="1388"/>
      <c r="AH54" s="1388"/>
      <c r="AI54" s="1388"/>
      <c r="AJ54" s="1388"/>
      <c r="AK54" s="1388"/>
      <c r="AL54" s="1388"/>
      <c r="AM54" s="1388"/>
      <c r="AN54" s="1388"/>
      <c r="AO54" s="1388"/>
      <c r="AP54" s="1388"/>
      <c r="AQ54" s="1388"/>
      <c r="AR54" s="1388"/>
      <c r="AS54" s="1388"/>
      <c r="AT54" s="1388"/>
      <c r="AU54" s="1388"/>
      <c r="AV54" s="1388"/>
      <c r="AW54" s="1388"/>
      <c r="AX54" s="1391"/>
      <c r="AY54" s="1388"/>
      <c r="AZ54" s="1591"/>
    </row>
    <row r="55" spans="1:52" ht="135.5" hidden="1" thickBot="1" x14ac:dyDescent="0.6">
      <c r="A55" s="1367"/>
      <c r="B55" s="1590" t="s">
        <v>867</v>
      </c>
      <c r="C55" s="1414" t="s">
        <v>997</v>
      </c>
      <c r="D55" s="1391" t="s">
        <v>998</v>
      </c>
      <c r="E55" s="1415" t="s">
        <v>944</v>
      </c>
      <c r="F55" s="1388" t="s">
        <v>849</v>
      </c>
      <c r="G55" s="1379" t="s">
        <v>850</v>
      </c>
      <c r="H55" s="1377" t="s">
        <v>870</v>
      </c>
      <c r="I55" s="1377" t="s">
        <v>853</v>
      </c>
      <c r="J55" s="1377"/>
      <c r="K55" s="1377"/>
      <c r="L55" s="1377" t="s">
        <v>852</v>
      </c>
      <c r="M55" s="1384" t="s">
        <v>852</v>
      </c>
      <c r="N55" s="1377"/>
      <c r="O55" s="1377"/>
      <c r="P55" s="1377"/>
      <c r="Q55" s="1377"/>
      <c r="R55" s="1388" t="s">
        <v>999</v>
      </c>
      <c r="S55" s="1381" t="s">
        <v>996</v>
      </c>
      <c r="T55" s="1381" t="s">
        <v>85</v>
      </c>
      <c r="U55" s="1388">
        <v>0</v>
      </c>
      <c r="V55" s="1388"/>
      <c r="W55" s="1388"/>
      <c r="X55" s="1388"/>
      <c r="Y55" s="1388"/>
      <c r="Z55" s="1388"/>
      <c r="AA55" s="1388"/>
      <c r="AB55" s="1390"/>
      <c r="AC55" s="1388"/>
      <c r="AD55" s="1388"/>
      <c r="AE55" s="1388"/>
      <c r="AF55" s="1388"/>
      <c r="AG55" s="1388"/>
      <c r="AH55" s="1388"/>
      <c r="AI55" s="1388"/>
      <c r="AJ55" s="1388"/>
      <c r="AK55" s="1388"/>
      <c r="AL55" s="1388"/>
      <c r="AM55" s="1388"/>
      <c r="AN55" s="1388"/>
      <c r="AO55" s="1388"/>
      <c r="AP55" s="1388"/>
      <c r="AQ55" s="1388"/>
      <c r="AR55" s="1388"/>
      <c r="AS55" s="1388"/>
      <c r="AT55" s="1388"/>
      <c r="AU55" s="1388"/>
      <c r="AV55" s="1388"/>
      <c r="AW55" s="1388"/>
      <c r="AX55" s="1391"/>
      <c r="AY55" s="1388"/>
      <c r="AZ55" s="1591"/>
    </row>
    <row r="56" spans="1:52" ht="113" hidden="1" thickBot="1" x14ac:dyDescent="0.6">
      <c r="A56" s="1367"/>
      <c r="B56" s="1590" t="s">
        <v>867</v>
      </c>
      <c r="C56" s="1414" t="s">
        <v>1000</v>
      </c>
      <c r="D56" s="1391" t="s">
        <v>1001</v>
      </c>
      <c r="E56" s="1415" t="s">
        <v>978</v>
      </c>
      <c r="F56" s="1388" t="s">
        <v>849</v>
      </c>
      <c r="G56" s="1379" t="s">
        <v>850</v>
      </c>
      <c r="H56" s="1377" t="s">
        <v>870</v>
      </c>
      <c r="I56" s="1377" t="s">
        <v>852</v>
      </c>
      <c r="J56" s="1377"/>
      <c r="K56" s="1377"/>
      <c r="L56" s="1377" t="s">
        <v>852</v>
      </c>
      <c r="M56" s="1384" t="s">
        <v>852</v>
      </c>
      <c r="N56" s="1377"/>
      <c r="O56" s="1377"/>
      <c r="P56" s="1377"/>
      <c r="Q56" s="1377"/>
      <c r="R56" s="1388" t="s">
        <v>1002</v>
      </c>
      <c r="S56" s="1388" t="s">
        <v>854</v>
      </c>
      <c r="T56" s="1388" t="s">
        <v>854</v>
      </c>
      <c r="U56" s="1388">
        <v>0</v>
      </c>
      <c r="V56" s="1388"/>
      <c r="W56" s="1388"/>
      <c r="X56" s="1388"/>
      <c r="Y56" s="1388"/>
      <c r="Z56" s="1388"/>
      <c r="AA56" s="1388"/>
      <c r="AB56" s="1390"/>
      <c r="AC56" s="1388"/>
      <c r="AD56" s="1388"/>
      <c r="AE56" s="1388"/>
      <c r="AF56" s="1388"/>
      <c r="AG56" s="1388"/>
      <c r="AH56" s="1388"/>
      <c r="AI56" s="1388"/>
      <c r="AJ56" s="1388"/>
      <c r="AK56" s="1388"/>
      <c r="AL56" s="1388"/>
      <c r="AM56" s="1388"/>
      <c r="AN56" s="1388"/>
      <c r="AO56" s="1388"/>
      <c r="AP56" s="1388"/>
      <c r="AQ56" s="1388"/>
      <c r="AR56" s="1388"/>
      <c r="AS56" s="1388"/>
      <c r="AT56" s="1388"/>
      <c r="AU56" s="1388"/>
      <c r="AV56" s="1388"/>
      <c r="AW56" s="1388"/>
      <c r="AX56" s="1391"/>
      <c r="AY56" s="1388"/>
      <c r="AZ56" s="1591"/>
    </row>
    <row r="57" spans="1:52" ht="68" hidden="1" thickBot="1" x14ac:dyDescent="0.6">
      <c r="A57" s="1367"/>
      <c r="B57" s="1590" t="s">
        <v>867</v>
      </c>
      <c r="C57" s="1414" t="s">
        <v>1003</v>
      </c>
      <c r="D57" s="1391" t="s">
        <v>1004</v>
      </c>
      <c r="E57" s="1415" t="s">
        <v>978</v>
      </c>
      <c r="F57" s="1388" t="s">
        <v>849</v>
      </c>
      <c r="G57" s="1379" t="s">
        <v>850</v>
      </c>
      <c r="H57" s="1377" t="s">
        <v>870</v>
      </c>
      <c r="I57" s="1377" t="s">
        <v>852</v>
      </c>
      <c r="J57" s="1377"/>
      <c r="K57" s="1377"/>
      <c r="L57" s="1377" t="s">
        <v>852</v>
      </c>
      <c r="M57" s="1384" t="s">
        <v>852</v>
      </c>
      <c r="N57" s="1377"/>
      <c r="O57" s="1377"/>
      <c r="P57" s="1377"/>
      <c r="Q57" s="1377"/>
      <c r="R57" s="1388" t="s">
        <v>1005</v>
      </c>
      <c r="S57" s="1388" t="s">
        <v>854</v>
      </c>
      <c r="T57" s="1388" t="s">
        <v>854</v>
      </c>
      <c r="U57" s="1388">
        <v>0</v>
      </c>
      <c r="V57" s="1388"/>
      <c r="W57" s="1388"/>
      <c r="X57" s="1388"/>
      <c r="Y57" s="1388"/>
      <c r="Z57" s="1388"/>
      <c r="AA57" s="1388"/>
      <c r="AB57" s="1390"/>
      <c r="AC57" s="1388"/>
      <c r="AD57" s="1388"/>
      <c r="AE57" s="1388"/>
      <c r="AF57" s="1388"/>
      <c r="AG57" s="1388"/>
      <c r="AH57" s="1388"/>
      <c r="AI57" s="1388"/>
      <c r="AJ57" s="1388"/>
      <c r="AK57" s="1388"/>
      <c r="AL57" s="1388"/>
      <c r="AM57" s="1388"/>
      <c r="AN57" s="1388"/>
      <c r="AO57" s="1388"/>
      <c r="AP57" s="1388"/>
      <c r="AQ57" s="1388"/>
      <c r="AR57" s="1388"/>
      <c r="AS57" s="1388"/>
      <c r="AT57" s="1388"/>
      <c r="AU57" s="1388"/>
      <c r="AV57" s="1388"/>
      <c r="AW57" s="1388"/>
      <c r="AX57" s="1391"/>
      <c r="AY57" s="1388"/>
      <c r="AZ57" s="1591"/>
    </row>
    <row r="58" spans="1:52" ht="225.5" hidden="1" thickBot="1" x14ac:dyDescent="0.6">
      <c r="A58" s="1367"/>
      <c r="B58" s="1590" t="s">
        <v>867</v>
      </c>
      <c r="C58" s="1414" t="s">
        <v>1006</v>
      </c>
      <c r="D58" s="1391" t="s">
        <v>1007</v>
      </c>
      <c r="E58" s="1415" t="s">
        <v>978</v>
      </c>
      <c r="F58" s="1388" t="s">
        <v>849</v>
      </c>
      <c r="G58" s="1379" t="s">
        <v>850</v>
      </c>
      <c r="H58" s="1377" t="s">
        <v>870</v>
      </c>
      <c r="I58" s="1377" t="s">
        <v>852</v>
      </c>
      <c r="J58" s="1377"/>
      <c r="K58" s="1377"/>
      <c r="L58" s="1377" t="s">
        <v>852</v>
      </c>
      <c r="M58" s="1384" t="s">
        <v>852</v>
      </c>
      <c r="N58" s="1377"/>
      <c r="O58" s="1377"/>
      <c r="P58" s="1377"/>
      <c r="Q58" s="1377"/>
      <c r="R58" s="1388" t="s">
        <v>1008</v>
      </c>
      <c r="S58" s="1388" t="s">
        <v>854</v>
      </c>
      <c r="T58" s="1388" t="s">
        <v>854</v>
      </c>
      <c r="U58" s="1388">
        <v>0</v>
      </c>
      <c r="V58" s="1388"/>
      <c r="W58" s="1388"/>
      <c r="X58" s="1388"/>
      <c r="Y58" s="1388"/>
      <c r="Z58" s="1388"/>
      <c r="AA58" s="1388"/>
      <c r="AB58" s="1390"/>
      <c r="AC58" s="1388"/>
      <c r="AD58" s="1388"/>
      <c r="AE58" s="1388"/>
      <c r="AF58" s="1388"/>
      <c r="AG58" s="1388"/>
      <c r="AH58" s="1388"/>
      <c r="AI58" s="1388"/>
      <c r="AJ58" s="1388"/>
      <c r="AK58" s="1388"/>
      <c r="AL58" s="1388"/>
      <c r="AM58" s="1388"/>
      <c r="AN58" s="1388"/>
      <c r="AO58" s="1388"/>
      <c r="AP58" s="1388"/>
      <c r="AQ58" s="1388"/>
      <c r="AR58" s="1388"/>
      <c r="AS58" s="1388"/>
      <c r="AT58" s="1388"/>
      <c r="AU58" s="1388"/>
      <c r="AV58" s="1388"/>
      <c r="AW58" s="1388"/>
      <c r="AX58" s="1391"/>
      <c r="AY58" s="1388"/>
      <c r="AZ58" s="1591"/>
    </row>
    <row r="59" spans="1:52" ht="113" hidden="1" thickBot="1" x14ac:dyDescent="0.6">
      <c r="A59" s="1367"/>
      <c r="B59" s="1590" t="s">
        <v>867</v>
      </c>
      <c r="C59" s="1414" t="s">
        <v>1009</v>
      </c>
      <c r="D59" s="1391" t="s">
        <v>1010</v>
      </c>
      <c r="E59" s="1415" t="s">
        <v>893</v>
      </c>
      <c r="F59" s="1388" t="s">
        <v>849</v>
      </c>
      <c r="G59" s="1379" t="s">
        <v>850</v>
      </c>
      <c r="H59" s="1377" t="s">
        <v>870</v>
      </c>
      <c r="I59" s="1377" t="s">
        <v>852</v>
      </c>
      <c r="J59" s="1377"/>
      <c r="K59" s="1377"/>
      <c r="L59" s="1377" t="s">
        <v>852</v>
      </c>
      <c r="M59" s="1384" t="s">
        <v>852</v>
      </c>
      <c r="N59" s="1377"/>
      <c r="O59" s="1377"/>
      <c r="P59" s="1377"/>
      <c r="Q59" s="1377"/>
      <c r="R59" s="1388" t="s">
        <v>1011</v>
      </c>
      <c r="S59" s="1381" t="s">
        <v>996</v>
      </c>
      <c r="T59" s="1381" t="s">
        <v>85</v>
      </c>
      <c r="U59" s="1388">
        <v>0</v>
      </c>
      <c r="V59" s="1388"/>
      <c r="W59" s="1388"/>
      <c r="X59" s="1388"/>
      <c r="Y59" s="1388"/>
      <c r="Z59" s="1388"/>
      <c r="AA59" s="1388"/>
      <c r="AB59" s="1390"/>
      <c r="AC59" s="1388"/>
      <c r="AD59" s="1388"/>
      <c r="AE59" s="1388"/>
      <c r="AF59" s="1388"/>
      <c r="AG59" s="1388"/>
      <c r="AH59" s="1388"/>
      <c r="AI59" s="1388"/>
      <c r="AJ59" s="1388"/>
      <c r="AK59" s="1388"/>
      <c r="AL59" s="1388"/>
      <c r="AM59" s="1388"/>
      <c r="AN59" s="1388"/>
      <c r="AO59" s="1388"/>
      <c r="AP59" s="1388"/>
      <c r="AQ59" s="1388"/>
      <c r="AR59" s="1388"/>
      <c r="AS59" s="1388"/>
      <c r="AT59" s="1388"/>
      <c r="AU59" s="1388"/>
      <c r="AV59" s="1388"/>
      <c r="AW59" s="1388"/>
      <c r="AX59" s="1391"/>
      <c r="AY59" s="1388"/>
      <c r="AZ59" s="1591"/>
    </row>
    <row r="60" spans="1:52" ht="158" hidden="1" thickBot="1" x14ac:dyDescent="0.6">
      <c r="A60" s="1367"/>
      <c r="B60" s="1590" t="s">
        <v>867</v>
      </c>
      <c r="C60" s="1414" t="s">
        <v>1012</v>
      </c>
      <c r="D60" s="1391" t="s">
        <v>1013</v>
      </c>
      <c r="E60" s="1415" t="s">
        <v>893</v>
      </c>
      <c r="F60" s="1388" t="s">
        <v>849</v>
      </c>
      <c r="G60" s="1379" t="s">
        <v>850</v>
      </c>
      <c r="H60" s="1377" t="s">
        <v>870</v>
      </c>
      <c r="I60" s="1377" t="s">
        <v>852</v>
      </c>
      <c r="J60" s="1377"/>
      <c r="K60" s="1377"/>
      <c r="L60" s="1377" t="s">
        <v>852</v>
      </c>
      <c r="M60" s="1384" t="s">
        <v>852</v>
      </c>
      <c r="N60" s="1377"/>
      <c r="O60" s="1377"/>
      <c r="P60" s="1377"/>
      <c r="Q60" s="1377"/>
      <c r="R60" s="1388" t="s">
        <v>1014</v>
      </c>
      <c r="S60" s="1388" t="s">
        <v>854</v>
      </c>
      <c r="T60" s="1388" t="s">
        <v>854</v>
      </c>
      <c r="U60" s="1388">
        <v>0</v>
      </c>
      <c r="V60" s="1388"/>
      <c r="W60" s="1388"/>
      <c r="X60" s="1388"/>
      <c r="Y60" s="1388"/>
      <c r="Z60" s="1388"/>
      <c r="AA60" s="1388"/>
      <c r="AB60" s="1390"/>
      <c r="AC60" s="1388"/>
      <c r="AD60" s="1388"/>
      <c r="AE60" s="1388"/>
      <c r="AF60" s="1388"/>
      <c r="AG60" s="1388"/>
      <c r="AH60" s="1388"/>
      <c r="AI60" s="1388"/>
      <c r="AJ60" s="1388"/>
      <c r="AK60" s="1388"/>
      <c r="AL60" s="1388"/>
      <c r="AM60" s="1388"/>
      <c r="AN60" s="1388"/>
      <c r="AO60" s="1388"/>
      <c r="AP60" s="1388"/>
      <c r="AQ60" s="1388"/>
      <c r="AR60" s="1388"/>
      <c r="AS60" s="1388"/>
      <c r="AT60" s="1388"/>
      <c r="AU60" s="1388"/>
      <c r="AV60" s="1388"/>
      <c r="AW60" s="1388"/>
      <c r="AX60" s="1391"/>
      <c r="AY60" s="1388"/>
      <c r="AZ60" s="1591"/>
    </row>
    <row r="61" spans="1:52" ht="180.5" hidden="1" thickBot="1" x14ac:dyDescent="0.6">
      <c r="A61" s="1367"/>
      <c r="B61" s="1590" t="s">
        <v>867</v>
      </c>
      <c r="C61" s="1414" t="s">
        <v>1015</v>
      </c>
      <c r="D61" s="1391" t="s">
        <v>1016</v>
      </c>
      <c r="E61" s="1415" t="s">
        <v>944</v>
      </c>
      <c r="F61" s="1388" t="s">
        <v>849</v>
      </c>
      <c r="G61" s="1379" t="s">
        <v>850</v>
      </c>
      <c r="H61" s="1377" t="s">
        <v>870</v>
      </c>
      <c r="I61" s="1377" t="s">
        <v>853</v>
      </c>
      <c r="J61" s="1377"/>
      <c r="K61" s="1377"/>
      <c r="L61" s="1377" t="s">
        <v>852</v>
      </c>
      <c r="M61" s="1384" t="s">
        <v>852</v>
      </c>
      <c r="N61" s="1377"/>
      <c r="O61" s="1377"/>
      <c r="P61" s="1377"/>
      <c r="Q61" s="1377"/>
      <c r="R61" s="1388" t="s">
        <v>1017</v>
      </c>
      <c r="S61" s="1381" t="s">
        <v>1018</v>
      </c>
      <c r="T61" s="1381" t="s">
        <v>85</v>
      </c>
      <c r="U61" s="1388">
        <v>5</v>
      </c>
      <c r="V61" s="1388"/>
      <c r="W61" s="1388"/>
      <c r="X61" s="1388"/>
      <c r="Y61" s="1388"/>
      <c r="Z61" s="1388"/>
      <c r="AA61" s="1388"/>
      <c r="AB61" s="1390"/>
      <c r="AC61" s="1388"/>
      <c r="AD61" s="1388"/>
      <c r="AE61" s="1388"/>
      <c r="AF61" s="1388"/>
      <c r="AG61" s="1388"/>
      <c r="AH61" s="1388"/>
      <c r="AI61" s="1388"/>
      <c r="AJ61" s="1388"/>
      <c r="AK61" s="1388"/>
      <c r="AL61" s="1388"/>
      <c r="AM61" s="1388"/>
      <c r="AN61" s="1388"/>
      <c r="AO61" s="1388"/>
      <c r="AP61" s="1388"/>
      <c r="AQ61" s="1388"/>
      <c r="AR61" s="1388"/>
      <c r="AS61" s="1388"/>
      <c r="AT61" s="1388"/>
      <c r="AU61" s="1388"/>
      <c r="AV61" s="1388"/>
      <c r="AW61" s="1388"/>
      <c r="AX61" s="1391"/>
      <c r="AY61" s="1388"/>
      <c r="AZ61" s="1591"/>
    </row>
    <row r="62" spans="1:52" ht="180.5" hidden="1" thickBot="1" x14ac:dyDescent="0.6">
      <c r="A62" s="1367"/>
      <c r="B62" s="1590" t="s">
        <v>867</v>
      </c>
      <c r="C62" s="1414" t="s">
        <v>1019</v>
      </c>
      <c r="D62" s="1391" t="s">
        <v>1020</v>
      </c>
      <c r="E62" s="1415" t="s">
        <v>944</v>
      </c>
      <c r="F62" s="1388" t="s">
        <v>849</v>
      </c>
      <c r="G62" s="1379" t="s">
        <v>850</v>
      </c>
      <c r="H62" s="1377" t="s">
        <v>870</v>
      </c>
      <c r="I62" s="1377" t="s">
        <v>853</v>
      </c>
      <c r="J62" s="1377"/>
      <c r="K62" s="1377"/>
      <c r="L62" s="1377" t="s">
        <v>852</v>
      </c>
      <c r="M62" s="1384" t="s">
        <v>852</v>
      </c>
      <c r="N62" s="1377"/>
      <c r="O62" s="1377"/>
      <c r="P62" s="1377"/>
      <c r="Q62" s="1377"/>
      <c r="R62" s="1388" t="s">
        <v>1017</v>
      </c>
      <c r="S62" s="1381" t="s">
        <v>1018</v>
      </c>
      <c r="T62" s="1381" t="s">
        <v>85</v>
      </c>
      <c r="U62" s="1388">
        <v>0</v>
      </c>
      <c r="V62" s="1388"/>
      <c r="W62" s="1388"/>
      <c r="X62" s="1388"/>
      <c r="Y62" s="1388"/>
      <c r="Z62" s="1388"/>
      <c r="AA62" s="1388"/>
      <c r="AB62" s="1390"/>
      <c r="AC62" s="1388"/>
      <c r="AD62" s="1388"/>
      <c r="AE62" s="1388"/>
      <c r="AF62" s="1388"/>
      <c r="AG62" s="1388"/>
      <c r="AH62" s="1388"/>
      <c r="AI62" s="1388"/>
      <c r="AJ62" s="1388"/>
      <c r="AK62" s="1388"/>
      <c r="AL62" s="1388"/>
      <c r="AM62" s="1388"/>
      <c r="AN62" s="1388"/>
      <c r="AO62" s="1388"/>
      <c r="AP62" s="1388"/>
      <c r="AQ62" s="1388"/>
      <c r="AR62" s="1388"/>
      <c r="AS62" s="1388"/>
      <c r="AT62" s="1388"/>
      <c r="AU62" s="1388"/>
      <c r="AV62" s="1388"/>
      <c r="AW62" s="1388"/>
      <c r="AX62" s="1391"/>
      <c r="AY62" s="1388"/>
      <c r="AZ62" s="1591"/>
    </row>
    <row r="63" spans="1:52" ht="71" hidden="1" thickBot="1" x14ac:dyDescent="0.6">
      <c r="A63" s="1367"/>
      <c r="B63" s="1590" t="s">
        <v>867</v>
      </c>
      <c r="C63" s="1414" t="s">
        <v>1021</v>
      </c>
      <c r="D63" s="1391" t="s">
        <v>1022</v>
      </c>
      <c r="E63" s="1415" t="s">
        <v>944</v>
      </c>
      <c r="F63" s="1388" t="s">
        <v>849</v>
      </c>
      <c r="G63" s="1379" t="s">
        <v>850</v>
      </c>
      <c r="H63" s="1377" t="s">
        <v>870</v>
      </c>
      <c r="I63" s="1377" t="s">
        <v>853</v>
      </c>
      <c r="J63" s="1377"/>
      <c r="K63" s="1377"/>
      <c r="L63" s="1377" t="s">
        <v>852</v>
      </c>
      <c r="M63" s="1384" t="s">
        <v>852</v>
      </c>
      <c r="N63" s="1377"/>
      <c r="O63" s="1377"/>
      <c r="P63" s="1377"/>
      <c r="Q63" s="1377"/>
      <c r="R63" s="1388" t="s">
        <v>936</v>
      </c>
      <c r="S63" s="1388" t="s">
        <v>970</v>
      </c>
      <c r="T63" s="1381" t="s">
        <v>85</v>
      </c>
      <c r="U63" s="1388">
        <v>0</v>
      </c>
      <c r="V63" s="1388"/>
      <c r="W63" s="1388"/>
      <c r="X63" s="1388"/>
      <c r="Y63" s="1388"/>
      <c r="Z63" s="1388"/>
      <c r="AA63" s="1388"/>
      <c r="AB63" s="1390"/>
      <c r="AC63" s="1388"/>
      <c r="AD63" s="1388"/>
      <c r="AE63" s="1388"/>
      <c r="AF63" s="1388"/>
      <c r="AG63" s="1388"/>
      <c r="AH63" s="1388"/>
      <c r="AI63" s="1388"/>
      <c r="AJ63" s="1388"/>
      <c r="AK63" s="1388"/>
      <c r="AL63" s="1388"/>
      <c r="AM63" s="1388"/>
      <c r="AN63" s="1388"/>
      <c r="AO63" s="1388"/>
      <c r="AP63" s="1388"/>
      <c r="AQ63" s="1388"/>
      <c r="AR63" s="1388"/>
      <c r="AS63" s="1388"/>
      <c r="AT63" s="1388"/>
      <c r="AU63" s="1388"/>
      <c r="AV63" s="1388"/>
      <c r="AW63" s="1388"/>
      <c r="AX63" s="1391"/>
      <c r="AY63" s="1388"/>
      <c r="AZ63" s="1591"/>
    </row>
    <row r="64" spans="1:52" ht="68" hidden="1" thickBot="1" x14ac:dyDescent="0.6">
      <c r="A64" s="1367"/>
      <c r="B64" s="1590" t="s">
        <v>867</v>
      </c>
      <c r="C64" s="1414" t="s">
        <v>1023</v>
      </c>
      <c r="D64" s="1391" t="s">
        <v>1024</v>
      </c>
      <c r="E64" s="1415" t="s">
        <v>863</v>
      </c>
      <c r="F64" s="1388" t="s">
        <v>849</v>
      </c>
      <c r="G64" s="1379" t="s">
        <v>850</v>
      </c>
      <c r="H64" s="1377" t="s">
        <v>870</v>
      </c>
      <c r="I64" s="1377" t="s">
        <v>853</v>
      </c>
      <c r="J64" s="1377"/>
      <c r="K64" s="1377"/>
      <c r="L64" s="1377" t="s">
        <v>852</v>
      </c>
      <c r="M64" s="1384" t="s">
        <v>852</v>
      </c>
      <c r="N64" s="1377"/>
      <c r="O64" s="1377"/>
      <c r="P64" s="1377"/>
      <c r="Q64" s="1377"/>
      <c r="R64" s="1388" t="s">
        <v>936</v>
      </c>
      <c r="S64" s="1388" t="s">
        <v>854</v>
      </c>
      <c r="T64" s="1388" t="s">
        <v>854</v>
      </c>
      <c r="U64" s="1388">
        <v>0</v>
      </c>
      <c r="V64" s="1388"/>
      <c r="W64" s="1388"/>
      <c r="X64" s="1388"/>
      <c r="Y64" s="1388"/>
      <c r="Z64" s="1388"/>
      <c r="AA64" s="1388"/>
      <c r="AB64" s="1390"/>
      <c r="AC64" s="1388"/>
      <c r="AD64" s="1388"/>
      <c r="AE64" s="1388"/>
      <c r="AF64" s="1388"/>
      <c r="AG64" s="1388"/>
      <c r="AH64" s="1388"/>
      <c r="AI64" s="1388"/>
      <c r="AJ64" s="1388"/>
      <c r="AK64" s="1388"/>
      <c r="AL64" s="1388"/>
      <c r="AM64" s="1388"/>
      <c r="AN64" s="1388"/>
      <c r="AO64" s="1388"/>
      <c r="AP64" s="1388"/>
      <c r="AQ64" s="1388"/>
      <c r="AR64" s="1388"/>
      <c r="AS64" s="1388"/>
      <c r="AT64" s="1388"/>
      <c r="AU64" s="1388"/>
      <c r="AV64" s="1388"/>
      <c r="AW64" s="1388"/>
      <c r="AX64" s="1391"/>
      <c r="AY64" s="1388"/>
      <c r="AZ64" s="1591"/>
    </row>
    <row r="65" spans="1:52" ht="68" hidden="1" thickBot="1" x14ac:dyDescent="0.6">
      <c r="A65" s="1367"/>
      <c r="B65" s="1590" t="s">
        <v>867</v>
      </c>
      <c r="C65" s="1414" t="s">
        <v>1025</v>
      </c>
      <c r="D65" s="1391" t="s">
        <v>1026</v>
      </c>
      <c r="E65" s="1415" t="s">
        <v>889</v>
      </c>
      <c r="F65" s="1388" t="s">
        <v>849</v>
      </c>
      <c r="G65" s="1379" t="s">
        <v>850</v>
      </c>
      <c r="H65" s="1377" t="s">
        <v>870</v>
      </c>
      <c r="I65" s="1377" t="s">
        <v>853</v>
      </c>
      <c r="J65" s="1377"/>
      <c r="K65" s="1377"/>
      <c r="L65" s="1377" t="s">
        <v>852</v>
      </c>
      <c r="M65" s="1384" t="s">
        <v>852</v>
      </c>
      <c r="N65" s="1377"/>
      <c r="O65" s="1377"/>
      <c r="P65" s="1377"/>
      <c r="Q65" s="1377"/>
      <c r="R65" s="1388" t="s">
        <v>936</v>
      </c>
      <c r="S65" s="1388" t="s">
        <v>854</v>
      </c>
      <c r="T65" s="1388" t="s">
        <v>854</v>
      </c>
      <c r="U65" s="1388">
        <v>0</v>
      </c>
      <c r="V65" s="1388"/>
      <c r="W65" s="1388"/>
      <c r="X65" s="1388"/>
      <c r="Y65" s="1388"/>
      <c r="Z65" s="1388"/>
      <c r="AA65" s="1388"/>
      <c r="AB65" s="1390"/>
      <c r="AC65" s="1388"/>
      <c r="AD65" s="1388"/>
      <c r="AE65" s="1388"/>
      <c r="AF65" s="1388"/>
      <c r="AG65" s="1388"/>
      <c r="AH65" s="1388"/>
      <c r="AI65" s="1388"/>
      <c r="AJ65" s="1388"/>
      <c r="AK65" s="1388"/>
      <c r="AL65" s="1388"/>
      <c r="AM65" s="1388"/>
      <c r="AN65" s="1388"/>
      <c r="AO65" s="1388"/>
      <c r="AP65" s="1388"/>
      <c r="AQ65" s="1388"/>
      <c r="AR65" s="1388"/>
      <c r="AS65" s="1388"/>
      <c r="AT65" s="1388"/>
      <c r="AU65" s="1388"/>
      <c r="AV65" s="1388"/>
      <c r="AW65" s="1388"/>
      <c r="AX65" s="1391"/>
      <c r="AY65" s="1388"/>
      <c r="AZ65" s="1591"/>
    </row>
    <row r="66" spans="1:52" ht="135.5" hidden="1" thickBot="1" x14ac:dyDescent="0.6">
      <c r="A66" s="1367"/>
      <c r="B66" s="1590" t="s">
        <v>867</v>
      </c>
      <c r="C66" s="1414" t="s">
        <v>1027</v>
      </c>
      <c r="D66" s="1391" t="s">
        <v>1028</v>
      </c>
      <c r="E66" s="1415" t="s">
        <v>956</v>
      </c>
      <c r="F66" s="1388" t="s">
        <v>849</v>
      </c>
      <c r="G66" s="1379" t="s">
        <v>850</v>
      </c>
      <c r="H66" s="1377" t="s">
        <v>870</v>
      </c>
      <c r="I66" s="1377" t="s">
        <v>853</v>
      </c>
      <c r="J66" s="1377"/>
      <c r="K66" s="1377"/>
      <c r="L66" s="1377" t="s">
        <v>852</v>
      </c>
      <c r="M66" s="1384" t="s">
        <v>852</v>
      </c>
      <c r="N66" s="1377"/>
      <c r="O66" s="1377"/>
      <c r="P66" s="1377"/>
      <c r="Q66" s="1377"/>
      <c r="R66" s="1388" t="s">
        <v>1029</v>
      </c>
      <c r="S66" s="1388" t="s">
        <v>854</v>
      </c>
      <c r="T66" s="1388" t="s">
        <v>854</v>
      </c>
      <c r="U66" s="1388">
        <v>0</v>
      </c>
      <c r="V66" s="1388"/>
      <c r="W66" s="1388"/>
      <c r="X66" s="1388"/>
      <c r="Y66" s="1388"/>
      <c r="Z66" s="1388"/>
      <c r="AA66" s="1388"/>
      <c r="AB66" s="1390"/>
      <c r="AC66" s="1388"/>
      <c r="AD66" s="1388"/>
      <c r="AE66" s="1388"/>
      <c r="AF66" s="1388"/>
      <c r="AG66" s="1388"/>
      <c r="AH66" s="1388"/>
      <c r="AI66" s="1388"/>
      <c r="AJ66" s="1388"/>
      <c r="AK66" s="1388"/>
      <c r="AL66" s="1388"/>
      <c r="AM66" s="1388"/>
      <c r="AN66" s="1388"/>
      <c r="AO66" s="1388"/>
      <c r="AP66" s="1388"/>
      <c r="AQ66" s="1388"/>
      <c r="AR66" s="1388"/>
      <c r="AS66" s="1388"/>
      <c r="AT66" s="1388"/>
      <c r="AU66" s="1388"/>
      <c r="AV66" s="1388"/>
      <c r="AW66" s="1388"/>
      <c r="AX66" s="1391"/>
      <c r="AY66" s="1388"/>
      <c r="AZ66" s="1591"/>
    </row>
    <row r="67" spans="1:52" ht="135.5" hidden="1" thickBot="1" x14ac:dyDescent="0.6">
      <c r="A67" s="1367"/>
      <c r="B67" s="1590" t="s">
        <v>867</v>
      </c>
      <c r="C67" s="1414" t="s">
        <v>1030</v>
      </c>
      <c r="D67" s="1391" t="s">
        <v>1031</v>
      </c>
      <c r="E67" s="1415" t="s">
        <v>956</v>
      </c>
      <c r="F67" s="1388" t="s">
        <v>849</v>
      </c>
      <c r="G67" s="1379" t="s">
        <v>850</v>
      </c>
      <c r="H67" s="1377" t="s">
        <v>870</v>
      </c>
      <c r="I67" s="1377" t="s">
        <v>853</v>
      </c>
      <c r="J67" s="1377"/>
      <c r="K67" s="1377"/>
      <c r="L67" s="1377" t="s">
        <v>852</v>
      </c>
      <c r="M67" s="1384" t="s">
        <v>852</v>
      </c>
      <c r="N67" s="1377"/>
      <c r="O67" s="1377"/>
      <c r="P67" s="1377"/>
      <c r="Q67" s="1377"/>
      <c r="R67" s="1388" t="s">
        <v>1029</v>
      </c>
      <c r="S67" s="1388" t="s">
        <v>854</v>
      </c>
      <c r="T67" s="1388" t="s">
        <v>854</v>
      </c>
      <c r="U67" s="1388">
        <v>0</v>
      </c>
      <c r="V67" s="1388"/>
      <c r="W67" s="1388"/>
      <c r="X67" s="1388"/>
      <c r="Y67" s="1388"/>
      <c r="Z67" s="1388"/>
      <c r="AA67" s="1388"/>
      <c r="AB67" s="1390"/>
      <c r="AC67" s="1388"/>
      <c r="AD67" s="1388"/>
      <c r="AE67" s="1388"/>
      <c r="AF67" s="1388"/>
      <c r="AG67" s="1388"/>
      <c r="AH67" s="1388"/>
      <c r="AI67" s="1388"/>
      <c r="AJ67" s="1388"/>
      <c r="AK67" s="1388"/>
      <c r="AL67" s="1388"/>
      <c r="AM67" s="1388"/>
      <c r="AN67" s="1388"/>
      <c r="AO67" s="1388"/>
      <c r="AP67" s="1388"/>
      <c r="AQ67" s="1388"/>
      <c r="AR67" s="1388"/>
      <c r="AS67" s="1388"/>
      <c r="AT67" s="1388"/>
      <c r="AU67" s="1388"/>
      <c r="AV67" s="1388"/>
      <c r="AW67" s="1388"/>
      <c r="AX67" s="1391"/>
      <c r="AY67" s="1388"/>
      <c r="AZ67" s="1591"/>
    </row>
    <row r="68" spans="1:52" ht="135.5" hidden="1" thickBot="1" x14ac:dyDescent="0.6">
      <c r="A68" s="1367"/>
      <c r="B68" s="1590" t="s">
        <v>867</v>
      </c>
      <c r="C68" s="1414" t="s">
        <v>1032</v>
      </c>
      <c r="D68" s="1391" t="s">
        <v>1033</v>
      </c>
      <c r="E68" s="1415" t="s">
        <v>893</v>
      </c>
      <c r="F68" s="1388" t="s">
        <v>849</v>
      </c>
      <c r="G68" s="1379" t="s">
        <v>850</v>
      </c>
      <c r="H68" s="1377" t="s">
        <v>870</v>
      </c>
      <c r="I68" s="1377" t="s">
        <v>852</v>
      </c>
      <c r="J68" s="1377"/>
      <c r="K68" s="1377"/>
      <c r="L68" s="1377" t="s">
        <v>852</v>
      </c>
      <c r="M68" s="1384" t="s">
        <v>852</v>
      </c>
      <c r="N68" s="1377"/>
      <c r="O68" s="1377"/>
      <c r="P68" s="1377"/>
      <c r="Q68" s="1377"/>
      <c r="R68" s="1388" t="s">
        <v>1029</v>
      </c>
      <c r="S68" s="1388" t="s">
        <v>854</v>
      </c>
      <c r="T68" s="1388" t="s">
        <v>854</v>
      </c>
      <c r="U68" s="1388">
        <v>0</v>
      </c>
      <c r="V68" s="1388"/>
      <c r="W68" s="1388"/>
      <c r="X68" s="1388"/>
      <c r="Y68" s="1388"/>
      <c r="Z68" s="1388"/>
      <c r="AA68" s="1388"/>
      <c r="AB68" s="1390"/>
      <c r="AC68" s="1388"/>
      <c r="AD68" s="1388"/>
      <c r="AE68" s="1388"/>
      <c r="AF68" s="1388"/>
      <c r="AG68" s="1388"/>
      <c r="AH68" s="1388"/>
      <c r="AI68" s="1388"/>
      <c r="AJ68" s="1388"/>
      <c r="AK68" s="1388"/>
      <c r="AL68" s="1388"/>
      <c r="AM68" s="1388"/>
      <c r="AN68" s="1388"/>
      <c r="AO68" s="1388"/>
      <c r="AP68" s="1388"/>
      <c r="AQ68" s="1388"/>
      <c r="AR68" s="1388"/>
      <c r="AS68" s="1388"/>
      <c r="AT68" s="1388"/>
      <c r="AU68" s="1388"/>
      <c r="AV68" s="1388"/>
      <c r="AW68" s="1388"/>
      <c r="AX68" s="1391"/>
      <c r="AY68" s="1388"/>
      <c r="AZ68" s="1591"/>
    </row>
    <row r="69" spans="1:52" ht="135.5" hidden="1" thickBot="1" x14ac:dyDescent="0.6">
      <c r="A69" s="1367"/>
      <c r="B69" s="1590" t="s">
        <v>867</v>
      </c>
      <c r="C69" s="1414" t="s">
        <v>1034</v>
      </c>
      <c r="D69" s="1391" t="s">
        <v>1035</v>
      </c>
      <c r="E69" s="1415" t="s">
        <v>893</v>
      </c>
      <c r="F69" s="1388" t="s">
        <v>849</v>
      </c>
      <c r="G69" s="1379" t="s">
        <v>850</v>
      </c>
      <c r="H69" s="1377" t="s">
        <v>870</v>
      </c>
      <c r="I69" s="1377" t="s">
        <v>852</v>
      </c>
      <c r="J69" s="1377"/>
      <c r="K69" s="1377"/>
      <c r="L69" s="1377" t="s">
        <v>852</v>
      </c>
      <c r="M69" s="1384" t="s">
        <v>852</v>
      </c>
      <c r="N69" s="1377"/>
      <c r="O69" s="1377"/>
      <c r="P69" s="1377"/>
      <c r="Q69" s="1377"/>
      <c r="R69" s="1388" t="s">
        <v>1036</v>
      </c>
      <c r="S69" s="1388" t="s">
        <v>854</v>
      </c>
      <c r="T69" s="1388" t="s">
        <v>854</v>
      </c>
      <c r="U69" s="1388">
        <v>0</v>
      </c>
      <c r="V69" s="1388"/>
      <c r="W69" s="1388"/>
      <c r="X69" s="1388"/>
      <c r="Y69" s="1388"/>
      <c r="Z69" s="1388"/>
      <c r="AA69" s="1388"/>
      <c r="AB69" s="1390"/>
      <c r="AC69" s="1388"/>
      <c r="AD69" s="1388"/>
      <c r="AE69" s="1388"/>
      <c r="AF69" s="1388"/>
      <c r="AG69" s="1388"/>
      <c r="AH69" s="1388"/>
      <c r="AI69" s="1388"/>
      <c r="AJ69" s="1388"/>
      <c r="AK69" s="1388"/>
      <c r="AL69" s="1388"/>
      <c r="AM69" s="1388"/>
      <c r="AN69" s="1388"/>
      <c r="AO69" s="1388"/>
      <c r="AP69" s="1388"/>
      <c r="AQ69" s="1388"/>
      <c r="AR69" s="1388"/>
      <c r="AS69" s="1388"/>
      <c r="AT69" s="1388"/>
      <c r="AU69" s="1388"/>
      <c r="AV69" s="1388"/>
      <c r="AW69" s="1388"/>
      <c r="AX69" s="1391"/>
      <c r="AY69" s="1388"/>
      <c r="AZ69" s="1591"/>
    </row>
    <row r="70" spans="1:52" ht="113" hidden="1" thickBot="1" x14ac:dyDescent="0.6">
      <c r="A70" s="1367"/>
      <c r="B70" s="1590" t="s">
        <v>867</v>
      </c>
      <c r="C70" s="1414" t="s">
        <v>1037</v>
      </c>
      <c r="D70" s="1391" t="s">
        <v>1038</v>
      </c>
      <c r="E70" s="1415" t="s">
        <v>893</v>
      </c>
      <c r="F70" s="1388" t="s">
        <v>849</v>
      </c>
      <c r="G70" s="1379" t="s">
        <v>850</v>
      </c>
      <c r="H70" s="1377" t="s">
        <v>870</v>
      </c>
      <c r="I70" s="1377" t="s">
        <v>852</v>
      </c>
      <c r="J70" s="1377"/>
      <c r="K70" s="1377"/>
      <c r="L70" s="1377" t="s">
        <v>852</v>
      </c>
      <c r="M70" s="1384" t="s">
        <v>852</v>
      </c>
      <c r="N70" s="1377"/>
      <c r="O70" s="1377"/>
      <c r="P70" s="1377"/>
      <c r="Q70" s="1377"/>
      <c r="R70" s="1388" t="s">
        <v>1039</v>
      </c>
      <c r="S70" s="1388" t="s">
        <v>854</v>
      </c>
      <c r="T70" s="1388" t="s">
        <v>854</v>
      </c>
      <c r="U70" s="1388">
        <v>0</v>
      </c>
      <c r="V70" s="1388"/>
      <c r="W70" s="1388"/>
      <c r="X70" s="1388"/>
      <c r="Y70" s="1388"/>
      <c r="Z70" s="1388"/>
      <c r="AA70" s="1388"/>
      <c r="AB70" s="1390"/>
      <c r="AC70" s="1388"/>
      <c r="AD70" s="1388"/>
      <c r="AE70" s="1388"/>
      <c r="AF70" s="1388"/>
      <c r="AG70" s="1388"/>
      <c r="AH70" s="1388"/>
      <c r="AI70" s="1388"/>
      <c r="AJ70" s="1388"/>
      <c r="AK70" s="1388"/>
      <c r="AL70" s="1388"/>
      <c r="AM70" s="1388"/>
      <c r="AN70" s="1388"/>
      <c r="AO70" s="1388"/>
      <c r="AP70" s="1388"/>
      <c r="AQ70" s="1388"/>
      <c r="AR70" s="1388"/>
      <c r="AS70" s="1388"/>
      <c r="AT70" s="1388"/>
      <c r="AU70" s="1388"/>
      <c r="AV70" s="1388"/>
      <c r="AW70" s="1388"/>
      <c r="AX70" s="1391"/>
      <c r="AY70" s="1388"/>
      <c r="AZ70" s="1591"/>
    </row>
    <row r="71" spans="1:52" ht="360.5" hidden="1" thickBot="1" x14ac:dyDescent="0.6">
      <c r="A71" s="1367"/>
      <c r="B71" s="1590" t="s">
        <v>867</v>
      </c>
      <c r="C71" s="1414" t="s">
        <v>1040</v>
      </c>
      <c r="D71" s="1391" t="s">
        <v>1041</v>
      </c>
      <c r="E71" s="1415" t="s">
        <v>944</v>
      </c>
      <c r="F71" s="1388" t="s">
        <v>849</v>
      </c>
      <c r="G71" s="1379" t="s">
        <v>850</v>
      </c>
      <c r="H71" s="1377" t="s">
        <v>870</v>
      </c>
      <c r="I71" s="1377" t="s">
        <v>853</v>
      </c>
      <c r="J71" s="1377"/>
      <c r="K71" s="1377"/>
      <c r="L71" s="1377" t="s">
        <v>852</v>
      </c>
      <c r="M71" s="1384" t="s">
        <v>852</v>
      </c>
      <c r="N71" s="1377"/>
      <c r="O71" s="1377"/>
      <c r="P71" s="1377"/>
      <c r="Q71" s="1377"/>
      <c r="R71" s="1388" t="s">
        <v>991</v>
      </c>
      <c r="S71" s="1381" t="s">
        <v>996</v>
      </c>
      <c r="T71" s="1381" t="s">
        <v>85</v>
      </c>
      <c r="U71" s="1388">
        <v>0</v>
      </c>
      <c r="V71" s="1388"/>
      <c r="W71" s="1388"/>
      <c r="X71" s="1388"/>
      <c r="Y71" s="1388"/>
      <c r="Z71" s="1388"/>
      <c r="AA71" s="1388"/>
      <c r="AB71" s="1390"/>
      <c r="AC71" s="1388"/>
      <c r="AD71" s="1388"/>
      <c r="AE71" s="1388"/>
      <c r="AF71" s="1388"/>
      <c r="AG71" s="1388"/>
      <c r="AH71" s="1388"/>
      <c r="AI71" s="1388"/>
      <c r="AJ71" s="1388"/>
      <c r="AK71" s="1388"/>
      <c r="AL71" s="1388"/>
      <c r="AM71" s="1388"/>
      <c r="AN71" s="1388"/>
      <c r="AO71" s="1388"/>
      <c r="AP71" s="1388"/>
      <c r="AQ71" s="1388"/>
      <c r="AR71" s="1388"/>
      <c r="AS71" s="1388"/>
      <c r="AT71" s="1388"/>
      <c r="AU71" s="1388"/>
      <c r="AV71" s="1388"/>
      <c r="AW71" s="1388"/>
      <c r="AX71" s="1391"/>
      <c r="AY71" s="1388"/>
      <c r="AZ71" s="1591"/>
    </row>
    <row r="72" spans="1:52" ht="113" hidden="1" thickBot="1" x14ac:dyDescent="0.6">
      <c r="A72" s="1367"/>
      <c r="B72" s="1590" t="s">
        <v>867</v>
      </c>
      <c r="C72" s="1414" t="s">
        <v>1042</v>
      </c>
      <c r="D72" s="1391" t="s">
        <v>1043</v>
      </c>
      <c r="E72" s="1415" t="s">
        <v>889</v>
      </c>
      <c r="F72" s="1388" t="s">
        <v>849</v>
      </c>
      <c r="G72" s="1379" t="s">
        <v>850</v>
      </c>
      <c r="H72" s="1377" t="s">
        <v>870</v>
      </c>
      <c r="I72" s="1377" t="s">
        <v>852</v>
      </c>
      <c r="J72" s="1377"/>
      <c r="K72" s="1377"/>
      <c r="L72" s="1377" t="s">
        <v>852</v>
      </c>
      <c r="M72" s="1384" t="s">
        <v>852</v>
      </c>
      <c r="N72" s="1377"/>
      <c r="O72" s="1377"/>
      <c r="P72" s="1377"/>
      <c r="Q72" s="1377"/>
      <c r="R72" s="1388" t="s">
        <v>1044</v>
      </c>
      <c r="S72" s="1388" t="s">
        <v>854</v>
      </c>
      <c r="T72" s="1388" t="s">
        <v>854</v>
      </c>
      <c r="U72" s="1388">
        <v>0</v>
      </c>
      <c r="V72" s="1388"/>
      <c r="W72" s="1388"/>
      <c r="X72" s="1388"/>
      <c r="Y72" s="1388"/>
      <c r="Z72" s="1388"/>
      <c r="AA72" s="1388"/>
      <c r="AB72" s="1390"/>
      <c r="AC72" s="1388"/>
      <c r="AD72" s="1388"/>
      <c r="AE72" s="1388"/>
      <c r="AF72" s="1388"/>
      <c r="AG72" s="1388"/>
      <c r="AH72" s="1388"/>
      <c r="AI72" s="1388"/>
      <c r="AJ72" s="1388"/>
      <c r="AK72" s="1388"/>
      <c r="AL72" s="1388"/>
      <c r="AM72" s="1388"/>
      <c r="AN72" s="1388"/>
      <c r="AO72" s="1388"/>
      <c r="AP72" s="1388"/>
      <c r="AQ72" s="1388"/>
      <c r="AR72" s="1388"/>
      <c r="AS72" s="1388"/>
      <c r="AT72" s="1388"/>
      <c r="AU72" s="1388"/>
      <c r="AV72" s="1388"/>
      <c r="AW72" s="1388"/>
      <c r="AX72" s="1391"/>
      <c r="AY72" s="1388"/>
      <c r="AZ72" s="1591"/>
    </row>
    <row r="73" spans="1:52" ht="113" hidden="1" thickBot="1" x14ac:dyDescent="0.6">
      <c r="A73" s="1367"/>
      <c r="B73" s="1590" t="s">
        <v>867</v>
      </c>
      <c r="C73" s="1414" t="s">
        <v>1045</v>
      </c>
      <c r="D73" s="1391" t="s">
        <v>1043</v>
      </c>
      <c r="E73" s="1415" t="s">
        <v>889</v>
      </c>
      <c r="F73" s="1388" t="s">
        <v>849</v>
      </c>
      <c r="G73" s="1379" t="s">
        <v>850</v>
      </c>
      <c r="H73" s="1377" t="s">
        <v>870</v>
      </c>
      <c r="I73" s="1377" t="s">
        <v>852</v>
      </c>
      <c r="J73" s="1377"/>
      <c r="K73" s="1377"/>
      <c r="L73" s="1377" t="s">
        <v>852</v>
      </c>
      <c r="M73" s="1384" t="s">
        <v>852</v>
      </c>
      <c r="N73" s="1377"/>
      <c r="O73" s="1377"/>
      <c r="P73" s="1377"/>
      <c r="Q73" s="1377"/>
      <c r="R73" s="1388" t="s">
        <v>1044</v>
      </c>
      <c r="S73" s="1388" t="s">
        <v>854</v>
      </c>
      <c r="T73" s="1388" t="s">
        <v>854</v>
      </c>
      <c r="U73" s="1388">
        <v>0</v>
      </c>
      <c r="V73" s="1388"/>
      <c r="W73" s="1388"/>
      <c r="X73" s="1388"/>
      <c r="Y73" s="1388"/>
      <c r="Z73" s="1388"/>
      <c r="AA73" s="1388"/>
      <c r="AB73" s="1390"/>
      <c r="AC73" s="1388"/>
      <c r="AD73" s="1388"/>
      <c r="AE73" s="1388"/>
      <c r="AF73" s="1388"/>
      <c r="AG73" s="1388"/>
      <c r="AH73" s="1388"/>
      <c r="AI73" s="1388"/>
      <c r="AJ73" s="1388"/>
      <c r="AK73" s="1388"/>
      <c r="AL73" s="1388"/>
      <c r="AM73" s="1388"/>
      <c r="AN73" s="1388"/>
      <c r="AO73" s="1388"/>
      <c r="AP73" s="1388"/>
      <c r="AQ73" s="1388"/>
      <c r="AR73" s="1388"/>
      <c r="AS73" s="1388"/>
      <c r="AT73" s="1388"/>
      <c r="AU73" s="1388"/>
      <c r="AV73" s="1388"/>
      <c r="AW73" s="1388"/>
      <c r="AX73" s="1391"/>
      <c r="AY73" s="1388"/>
      <c r="AZ73" s="1591"/>
    </row>
    <row r="74" spans="1:52" ht="68" hidden="1" thickBot="1" x14ac:dyDescent="0.6">
      <c r="A74" s="1367"/>
      <c r="B74" s="1590" t="s">
        <v>867</v>
      </c>
      <c r="C74" s="1414" t="s">
        <v>1046</v>
      </c>
      <c r="D74" s="1391" t="s">
        <v>1047</v>
      </c>
      <c r="E74" s="1415" t="s">
        <v>893</v>
      </c>
      <c r="F74" s="1388" t="s">
        <v>849</v>
      </c>
      <c r="G74" s="1379" t="s">
        <v>850</v>
      </c>
      <c r="H74" s="1377" t="s">
        <v>870</v>
      </c>
      <c r="I74" s="1377" t="s">
        <v>852</v>
      </c>
      <c r="J74" s="1377"/>
      <c r="K74" s="1377"/>
      <c r="L74" s="1377" t="s">
        <v>852</v>
      </c>
      <c r="M74" s="1384" t="s">
        <v>852</v>
      </c>
      <c r="N74" s="1377"/>
      <c r="O74" s="1377"/>
      <c r="P74" s="1377"/>
      <c r="Q74" s="1377"/>
      <c r="R74" s="1388" t="s">
        <v>1036</v>
      </c>
      <c r="S74" s="1388" t="s">
        <v>854</v>
      </c>
      <c r="T74" s="1388" t="s">
        <v>854</v>
      </c>
      <c r="U74" s="1388">
        <v>0</v>
      </c>
      <c r="V74" s="1388"/>
      <c r="W74" s="1388"/>
      <c r="X74" s="1388"/>
      <c r="Y74" s="1388"/>
      <c r="Z74" s="1388"/>
      <c r="AA74" s="1388"/>
      <c r="AB74" s="1390"/>
      <c r="AC74" s="1388"/>
      <c r="AD74" s="1388"/>
      <c r="AE74" s="1388"/>
      <c r="AF74" s="1388"/>
      <c r="AG74" s="1388"/>
      <c r="AH74" s="1388"/>
      <c r="AI74" s="1388"/>
      <c r="AJ74" s="1388"/>
      <c r="AK74" s="1388"/>
      <c r="AL74" s="1388"/>
      <c r="AM74" s="1388"/>
      <c r="AN74" s="1388"/>
      <c r="AO74" s="1388"/>
      <c r="AP74" s="1388"/>
      <c r="AQ74" s="1388"/>
      <c r="AR74" s="1388"/>
      <c r="AS74" s="1388"/>
      <c r="AT74" s="1388"/>
      <c r="AU74" s="1388"/>
      <c r="AV74" s="1388"/>
      <c r="AW74" s="1388"/>
      <c r="AX74" s="1391"/>
      <c r="AY74" s="1388"/>
      <c r="AZ74" s="1591"/>
    </row>
    <row r="75" spans="1:52" ht="68" hidden="1" thickBot="1" x14ac:dyDescent="0.6">
      <c r="A75" s="1367"/>
      <c r="B75" s="1590" t="s">
        <v>867</v>
      </c>
      <c r="C75" s="1414" t="s">
        <v>1048</v>
      </c>
      <c r="D75" s="1391" t="s">
        <v>1049</v>
      </c>
      <c r="E75" s="1415" t="s">
        <v>893</v>
      </c>
      <c r="F75" s="1388" t="s">
        <v>849</v>
      </c>
      <c r="G75" s="1379" t="s">
        <v>850</v>
      </c>
      <c r="H75" s="1377" t="s">
        <v>870</v>
      </c>
      <c r="I75" s="1377" t="s">
        <v>852</v>
      </c>
      <c r="J75" s="1377"/>
      <c r="K75" s="1377"/>
      <c r="L75" s="1377" t="s">
        <v>852</v>
      </c>
      <c r="M75" s="1384" t="s">
        <v>852</v>
      </c>
      <c r="N75" s="1377"/>
      <c r="O75" s="1377"/>
      <c r="P75" s="1377"/>
      <c r="Q75" s="1377"/>
      <c r="R75" s="1388" t="s">
        <v>1036</v>
      </c>
      <c r="S75" s="1388" t="s">
        <v>854</v>
      </c>
      <c r="T75" s="1388" t="s">
        <v>854</v>
      </c>
      <c r="U75" s="1388">
        <v>0</v>
      </c>
      <c r="V75" s="1388"/>
      <c r="W75" s="1388"/>
      <c r="X75" s="1388"/>
      <c r="Y75" s="1388"/>
      <c r="Z75" s="1388"/>
      <c r="AA75" s="1388"/>
      <c r="AB75" s="1390"/>
      <c r="AC75" s="1388"/>
      <c r="AD75" s="1388"/>
      <c r="AE75" s="1388"/>
      <c r="AF75" s="1388"/>
      <c r="AG75" s="1388"/>
      <c r="AH75" s="1388"/>
      <c r="AI75" s="1388"/>
      <c r="AJ75" s="1388"/>
      <c r="AK75" s="1388"/>
      <c r="AL75" s="1388"/>
      <c r="AM75" s="1388"/>
      <c r="AN75" s="1388"/>
      <c r="AO75" s="1388"/>
      <c r="AP75" s="1388"/>
      <c r="AQ75" s="1388"/>
      <c r="AR75" s="1388"/>
      <c r="AS75" s="1388"/>
      <c r="AT75" s="1388"/>
      <c r="AU75" s="1388"/>
      <c r="AV75" s="1388"/>
      <c r="AW75" s="1388"/>
      <c r="AX75" s="1391"/>
      <c r="AY75" s="1388"/>
      <c r="AZ75" s="1591"/>
    </row>
    <row r="76" spans="1:52" ht="68" hidden="1" thickBot="1" x14ac:dyDescent="0.6">
      <c r="A76" s="1367"/>
      <c r="B76" s="1590" t="s">
        <v>867</v>
      </c>
      <c r="C76" s="1414" t="s">
        <v>1050</v>
      </c>
      <c r="D76" s="1391" t="s">
        <v>1051</v>
      </c>
      <c r="E76" s="1415" t="s">
        <v>893</v>
      </c>
      <c r="F76" s="1388" t="s">
        <v>849</v>
      </c>
      <c r="G76" s="1379" t="s">
        <v>850</v>
      </c>
      <c r="H76" s="1377" t="s">
        <v>870</v>
      </c>
      <c r="I76" s="1377" t="s">
        <v>852</v>
      </c>
      <c r="J76" s="1377"/>
      <c r="K76" s="1377"/>
      <c r="L76" s="1377" t="s">
        <v>852</v>
      </c>
      <c r="M76" s="1384" t="s">
        <v>852</v>
      </c>
      <c r="N76" s="1377"/>
      <c r="O76" s="1377"/>
      <c r="P76" s="1377"/>
      <c r="Q76" s="1377"/>
      <c r="R76" s="1388" t="s">
        <v>1036</v>
      </c>
      <c r="S76" s="1388" t="s">
        <v>854</v>
      </c>
      <c r="T76" s="1388" t="s">
        <v>854</v>
      </c>
      <c r="U76" s="1388">
        <v>0</v>
      </c>
      <c r="V76" s="1388"/>
      <c r="W76" s="1388"/>
      <c r="X76" s="1388"/>
      <c r="Y76" s="1388"/>
      <c r="Z76" s="1388"/>
      <c r="AA76" s="1388"/>
      <c r="AB76" s="1390"/>
      <c r="AC76" s="1388"/>
      <c r="AD76" s="1388"/>
      <c r="AE76" s="1388"/>
      <c r="AF76" s="1388"/>
      <c r="AG76" s="1388"/>
      <c r="AH76" s="1388"/>
      <c r="AI76" s="1388"/>
      <c r="AJ76" s="1388"/>
      <c r="AK76" s="1388"/>
      <c r="AL76" s="1388"/>
      <c r="AM76" s="1388"/>
      <c r="AN76" s="1388"/>
      <c r="AO76" s="1388"/>
      <c r="AP76" s="1388"/>
      <c r="AQ76" s="1388"/>
      <c r="AR76" s="1388"/>
      <c r="AS76" s="1388"/>
      <c r="AT76" s="1388"/>
      <c r="AU76" s="1388"/>
      <c r="AV76" s="1388"/>
      <c r="AW76" s="1388"/>
      <c r="AX76" s="1391"/>
      <c r="AY76" s="1388"/>
      <c r="AZ76" s="1591"/>
    </row>
    <row r="77" spans="1:52" ht="68" hidden="1" thickBot="1" x14ac:dyDescent="0.6">
      <c r="A77" s="1367"/>
      <c r="B77" s="1590" t="s">
        <v>867</v>
      </c>
      <c r="C77" s="1414" t="s">
        <v>1052</v>
      </c>
      <c r="D77" s="1391" t="s">
        <v>1053</v>
      </c>
      <c r="E77" s="1415" t="s">
        <v>893</v>
      </c>
      <c r="F77" s="1388" t="s">
        <v>849</v>
      </c>
      <c r="G77" s="1379" t="s">
        <v>850</v>
      </c>
      <c r="H77" s="1377" t="s">
        <v>870</v>
      </c>
      <c r="I77" s="1377" t="s">
        <v>852</v>
      </c>
      <c r="J77" s="1377"/>
      <c r="K77" s="1377"/>
      <c r="L77" s="1377" t="s">
        <v>852</v>
      </c>
      <c r="M77" s="1384" t="s">
        <v>852</v>
      </c>
      <c r="N77" s="1377"/>
      <c r="O77" s="1377"/>
      <c r="P77" s="1377"/>
      <c r="Q77" s="1377"/>
      <c r="R77" s="1388" t="s">
        <v>1036</v>
      </c>
      <c r="S77" s="1388" t="s">
        <v>854</v>
      </c>
      <c r="T77" s="1388" t="s">
        <v>854</v>
      </c>
      <c r="U77" s="1388">
        <v>0</v>
      </c>
      <c r="V77" s="1388"/>
      <c r="W77" s="1388"/>
      <c r="X77" s="1388"/>
      <c r="Y77" s="1388"/>
      <c r="Z77" s="1388"/>
      <c r="AA77" s="1388"/>
      <c r="AB77" s="1390"/>
      <c r="AC77" s="1388"/>
      <c r="AD77" s="1388"/>
      <c r="AE77" s="1388"/>
      <c r="AF77" s="1388"/>
      <c r="AG77" s="1388"/>
      <c r="AH77" s="1388"/>
      <c r="AI77" s="1388"/>
      <c r="AJ77" s="1388"/>
      <c r="AK77" s="1388"/>
      <c r="AL77" s="1388"/>
      <c r="AM77" s="1388"/>
      <c r="AN77" s="1388"/>
      <c r="AO77" s="1388"/>
      <c r="AP77" s="1388"/>
      <c r="AQ77" s="1388"/>
      <c r="AR77" s="1388"/>
      <c r="AS77" s="1388"/>
      <c r="AT77" s="1388"/>
      <c r="AU77" s="1388"/>
      <c r="AV77" s="1388"/>
      <c r="AW77" s="1388"/>
      <c r="AX77" s="1391"/>
      <c r="AY77" s="1388"/>
      <c r="AZ77" s="1591"/>
    </row>
    <row r="78" spans="1:52" ht="203" hidden="1" thickBot="1" x14ac:dyDescent="0.6">
      <c r="A78" s="1367"/>
      <c r="B78" s="1590" t="s">
        <v>867</v>
      </c>
      <c r="C78" s="1414" t="s">
        <v>1054</v>
      </c>
      <c r="D78" s="1391" t="s">
        <v>1055</v>
      </c>
      <c r="E78" s="1415" t="s">
        <v>863</v>
      </c>
      <c r="F78" s="1388" t="s">
        <v>849</v>
      </c>
      <c r="G78" s="1379" t="s">
        <v>850</v>
      </c>
      <c r="H78" s="1377" t="s">
        <v>870</v>
      </c>
      <c r="I78" s="1377" t="s">
        <v>852</v>
      </c>
      <c r="J78" s="1377"/>
      <c r="K78" s="1377"/>
      <c r="L78" s="1377" t="s">
        <v>852</v>
      </c>
      <c r="M78" s="1384" t="s">
        <v>852</v>
      </c>
      <c r="N78" s="1377"/>
      <c r="O78" s="1377"/>
      <c r="P78" s="1377"/>
      <c r="Q78" s="1377"/>
      <c r="R78" s="1388" t="s">
        <v>1056</v>
      </c>
      <c r="S78" s="1388" t="s">
        <v>854</v>
      </c>
      <c r="T78" s="1388" t="s">
        <v>854</v>
      </c>
      <c r="U78" s="1388">
        <v>0</v>
      </c>
      <c r="V78" s="1388"/>
      <c r="W78" s="1388"/>
      <c r="X78" s="1388"/>
      <c r="Y78" s="1388"/>
      <c r="Z78" s="1388"/>
      <c r="AA78" s="1388"/>
      <c r="AB78" s="1390"/>
      <c r="AC78" s="1388"/>
      <c r="AD78" s="1388"/>
      <c r="AE78" s="1388"/>
      <c r="AF78" s="1388"/>
      <c r="AG78" s="1388"/>
      <c r="AH78" s="1388"/>
      <c r="AI78" s="1388"/>
      <c r="AJ78" s="1388"/>
      <c r="AK78" s="1388"/>
      <c r="AL78" s="1388"/>
      <c r="AM78" s="1388"/>
      <c r="AN78" s="1388"/>
      <c r="AO78" s="1388"/>
      <c r="AP78" s="1388"/>
      <c r="AQ78" s="1388"/>
      <c r="AR78" s="1388"/>
      <c r="AS78" s="1388"/>
      <c r="AT78" s="1388"/>
      <c r="AU78" s="1388"/>
      <c r="AV78" s="1388"/>
      <c r="AW78" s="1388"/>
      <c r="AX78" s="1391"/>
      <c r="AY78" s="1388"/>
      <c r="AZ78" s="1591"/>
    </row>
    <row r="79" spans="1:52" ht="68" hidden="1" thickBot="1" x14ac:dyDescent="0.6">
      <c r="A79" s="1367"/>
      <c r="B79" s="1590" t="s">
        <v>867</v>
      </c>
      <c r="C79" s="1414" t="s">
        <v>1057</v>
      </c>
      <c r="D79" s="1391" t="s">
        <v>1058</v>
      </c>
      <c r="E79" s="1415" t="s">
        <v>1059</v>
      </c>
      <c r="F79" s="1388" t="s">
        <v>849</v>
      </c>
      <c r="G79" s="1379" t="s">
        <v>850</v>
      </c>
      <c r="H79" s="1377" t="s">
        <v>870</v>
      </c>
      <c r="I79" s="1377" t="s">
        <v>852</v>
      </c>
      <c r="J79" s="1377"/>
      <c r="K79" s="1377"/>
      <c r="L79" s="1377" t="s">
        <v>852</v>
      </c>
      <c r="M79" s="1384" t="s">
        <v>852</v>
      </c>
      <c r="N79" s="1377"/>
      <c r="O79" s="1377"/>
      <c r="P79" s="1377"/>
      <c r="Q79" s="1377"/>
      <c r="R79" s="1388" t="s">
        <v>1060</v>
      </c>
      <c r="S79" s="1388" t="s">
        <v>854</v>
      </c>
      <c r="T79" s="1388" t="s">
        <v>854</v>
      </c>
      <c r="U79" s="1388">
        <v>0</v>
      </c>
      <c r="V79" s="1388"/>
      <c r="W79" s="1388"/>
      <c r="X79" s="1388"/>
      <c r="Y79" s="1388"/>
      <c r="Z79" s="1388"/>
      <c r="AA79" s="1388"/>
      <c r="AB79" s="1390"/>
      <c r="AC79" s="1388"/>
      <c r="AD79" s="1388"/>
      <c r="AE79" s="1388"/>
      <c r="AF79" s="1388"/>
      <c r="AG79" s="1388"/>
      <c r="AH79" s="1388"/>
      <c r="AI79" s="1388"/>
      <c r="AJ79" s="1388"/>
      <c r="AK79" s="1388"/>
      <c r="AL79" s="1388"/>
      <c r="AM79" s="1388"/>
      <c r="AN79" s="1388"/>
      <c r="AO79" s="1388"/>
      <c r="AP79" s="1388"/>
      <c r="AQ79" s="1388"/>
      <c r="AR79" s="1388"/>
      <c r="AS79" s="1388"/>
      <c r="AT79" s="1388"/>
      <c r="AU79" s="1388"/>
      <c r="AV79" s="1388"/>
      <c r="AW79" s="1388"/>
      <c r="AX79" s="1391"/>
      <c r="AY79" s="1388"/>
      <c r="AZ79" s="1591"/>
    </row>
    <row r="80" spans="1:52" ht="68" hidden="1" thickBot="1" x14ac:dyDescent="0.6">
      <c r="A80" s="1367"/>
      <c r="B80" s="1592" t="s">
        <v>867</v>
      </c>
      <c r="C80" s="1485" t="s">
        <v>1061</v>
      </c>
      <c r="D80" s="1486" t="s">
        <v>1062</v>
      </c>
      <c r="E80" s="1487" t="s">
        <v>1059</v>
      </c>
      <c r="F80" s="1390" t="s">
        <v>849</v>
      </c>
      <c r="G80" s="1498" t="s">
        <v>850</v>
      </c>
      <c r="H80" s="1493" t="s">
        <v>870</v>
      </c>
      <c r="I80" s="1493" t="s">
        <v>852</v>
      </c>
      <c r="J80" s="1493"/>
      <c r="K80" s="1493"/>
      <c r="L80" s="1493" t="s">
        <v>852</v>
      </c>
      <c r="M80" s="1515" t="s">
        <v>852</v>
      </c>
      <c r="N80" s="1493"/>
      <c r="O80" s="1493"/>
      <c r="P80" s="1493"/>
      <c r="Q80" s="1493"/>
      <c r="R80" s="1390" t="s">
        <v>1060</v>
      </c>
      <c r="S80" s="1390" t="s">
        <v>854</v>
      </c>
      <c r="T80" s="1390" t="s">
        <v>854</v>
      </c>
      <c r="U80" s="1390">
        <v>0</v>
      </c>
      <c r="V80" s="1390"/>
      <c r="W80" s="1390"/>
      <c r="X80" s="1390"/>
      <c r="Y80" s="1390"/>
      <c r="Z80" s="1390"/>
      <c r="AA80" s="1390"/>
      <c r="AB80" s="1390"/>
      <c r="AC80" s="1390"/>
      <c r="AD80" s="1390"/>
      <c r="AE80" s="1390"/>
      <c r="AF80" s="1390"/>
      <c r="AG80" s="1390"/>
      <c r="AH80" s="1390"/>
      <c r="AI80" s="1390"/>
      <c r="AJ80" s="1390"/>
      <c r="AK80" s="1390"/>
      <c r="AL80" s="1390"/>
      <c r="AM80" s="1390"/>
      <c r="AN80" s="1390"/>
      <c r="AO80" s="1390"/>
      <c r="AP80" s="1390"/>
      <c r="AQ80" s="1390"/>
      <c r="AR80" s="1390"/>
      <c r="AS80" s="1390"/>
      <c r="AT80" s="1390"/>
      <c r="AU80" s="1390"/>
      <c r="AV80" s="1390"/>
      <c r="AW80" s="1390"/>
      <c r="AX80" s="1486"/>
      <c r="AY80" s="1390"/>
      <c r="AZ80" s="1593"/>
    </row>
    <row r="81" spans="1:54" ht="135" x14ac:dyDescent="0.35">
      <c r="A81" s="1367"/>
      <c r="B81" s="1521" t="s">
        <v>1063</v>
      </c>
      <c r="C81" s="1522" t="s">
        <v>1064</v>
      </c>
      <c r="D81" s="1522" t="s">
        <v>1065</v>
      </c>
      <c r="E81" s="1523" t="s">
        <v>1059</v>
      </c>
      <c r="F81" s="1524" t="s">
        <v>849</v>
      </c>
      <c r="G81" s="1525" t="s">
        <v>850</v>
      </c>
      <c r="H81" s="1522" t="s">
        <v>1066</v>
      </c>
      <c r="I81" s="1522" t="s">
        <v>852</v>
      </c>
      <c r="J81" s="1522"/>
      <c r="K81" s="1522"/>
      <c r="L81" s="1377" t="s">
        <v>852</v>
      </c>
      <c r="M81" s="1384" t="s">
        <v>852</v>
      </c>
      <c r="N81" s="1377" t="s">
        <v>852</v>
      </c>
      <c r="O81" s="1377" t="s">
        <v>852</v>
      </c>
      <c r="P81" s="1377" t="s">
        <v>852</v>
      </c>
      <c r="Q81" s="1377" t="s">
        <v>852</v>
      </c>
      <c r="R81" s="1522" t="s">
        <v>854</v>
      </c>
      <c r="S81" s="1526" t="s">
        <v>854</v>
      </c>
      <c r="T81" s="1526" t="s">
        <v>854</v>
      </c>
      <c r="U81" s="1522">
        <v>0.5</v>
      </c>
      <c r="V81" s="1522">
        <v>5</v>
      </c>
      <c r="W81" s="1522" t="s">
        <v>854</v>
      </c>
      <c r="X81" s="1527">
        <v>157.33331910899116</v>
      </c>
      <c r="Y81" s="1527">
        <v>0.1226515745619772</v>
      </c>
      <c r="Z81" s="1527">
        <v>0.1226515745619772</v>
      </c>
      <c r="AA81" s="1528">
        <v>0.5</v>
      </c>
      <c r="AB81" s="1528">
        <v>0.5</v>
      </c>
      <c r="AC81" s="1528">
        <v>845.95370054142961</v>
      </c>
      <c r="AD81" s="1528">
        <v>346.96442468284999</v>
      </c>
      <c r="AE81" s="1528">
        <v>346.96442468284999</v>
      </c>
      <c r="AF81" s="1528">
        <v>0.40648303855553108</v>
      </c>
      <c r="AG81" s="1528">
        <v>4311.1000000000004</v>
      </c>
      <c r="AH81" s="1528">
        <v>156.743412088832</v>
      </c>
      <c r="AI81" s="1529">
        <v>-27</v>
      </c>
      <c r="AJ81" s="1529" t="s">
        <v>1067</v>
      </c>
      <c r="AK81" s="1529" t="s">
        <v>854</v>
      </c>
      <c r="AL81" s="1529" t="s">
        <v>854</v>
      </c>
      <c r="AM81" s="1529" t="s">
        <v>1068</v>
      </c>
      <c r="AN81" s="1529" t="s">
        <v>854</v>
      </c>
      <c r="AO81" s="1529" t="s">
        <v>1069</v>
      </c>
      <c r="AP81" s="1529" t="s">
        <v>854</v>
      </c>
      <c r="AQ81" s="1529" t="s">
        <v>854</v>
      </c>
      <c r="AR81" s="1529" t="s">
        <v>854</v>
      </c>
      <c r="AS81" s="1529" t="s">
        <v>854</v>
      </c>
      <c r="AT81" s="1529" t="s">
        <v>854</v>
      </c>
      <c r="AU81" s="1529" t="s">
        <v>858</v>
      </c>
      <c r="AV81" s="1529" t="s">
        <v>1070</v>
      </c>
      <c r="AW81" s="1529" t="s">
        <v>855</v>
      </c>
      <c r="AX81" s="1529" t="s">
        <v>855</v>
      </c>
      <c r="AY81" s="1529" t="s">
        <v>855</v>
      </c>
      <c r="AZ81" s="1530" t="s">
        <v>855</v>
      </c>
    </row>
    <row r="82" spans="1:54" ht="135.5" thickBot="1" x14ac:dyDescent="0.4">
      <c r="A82" s="1367"/>
      <c r="B82" s="1531" t="s">
        <v>845</v>
      </c>
      <c r="C82" s="1532" t="s">
        <v>1071</v>
      </c>
      <c r="D82" s="1532" t="s">
        <v>1072</v>
      </c>
      <c r="E82" s="1533" t="s">
        <v>1059</v>
      </c>
      <c r="F82" s="1534" t="s">
        <v>849</v>
      </c>
      <c r="G82" s="1535" t="s">
        <v>850</v>
      </c>
      <c r="H82" s="1532" t="s">
        <v>851</v>
      </c>
      <c r="I82" s="1532" t="s">
        <v>852</v>
      </c>
      <c r="J82" s="1532"/>
      <c r="K82" s="1532"/>
      <c r="L82" s="1532" t="s">
        <v>853</v>
      </c>
      <c r="M82" s="1532" t="s">
        <v>853</v>
      </c>
      <c r="N82" s="1532" t="s">
        <v>853</v>
      </c>
      <c r="O82" s="1532" t="s">
        <v>853</v>
      </c>
      <c r="P82" s="1532" t="s">
        <v>853</v>
      </c>
      <c r="Q82" s="1532" t="s">
        <v>853</v>
      </c>
      <c r="R82" s="1532" t="s">
        <v>854</v>
      </c>
      <c r="S82" s="1536" t="s">
        <v>854</v>
      </c>
      <c r="T82" s="1536" t="s">
        <v>854</v>
      </c>
      <c r="U82" s="1532">
        <v>0.5</v>
      </c>
      <c r="V82" s="1532">
        <v>5</v>
      </c>
      <c r="W82" s="1536" t="s">
        <v>285</v>
      </c>
      <c r="X82" s="1537">
        <v>20.052378048340458</v>
      </c>
      <c r="Y82" s="1537">
        <v>0.1226515745619772</v>
      </c>
      <c r="Z82" s="1537">
        <v>0.1226515745619772</v>
      </c>
      <c r="AA82" s="1538">
        <v>0.5</v>
      </c>
      <c r="AB82" s="1538">
        <v>0.5</v>
      </c>
      <c r="AC82" s="1538">
        <v>866.92520589436197</v>
      </c>
      <c r="AD82" s="1538">
        <v>346.96442468284999</v>
      </c>
      <c r="AE82" s="1538">
        <v>346.96442468284999</v>
      </c>
      <c r="AF82" s="1538">
        <v>0.49616857486088023</v>
      </c>
      <c r="AG82" s="1538">
        <v>647.6</v>
      </c>
      <c r="AH82" s="1538">
        <v>23.547401752771055</v>
      </c>
      <c r="AI82" s="1539">
        <v>-27</v>
      </c>
      <c r="AJ82" s="1539" t="s">
        <v>1067</v>
      </c>
      <c r="AK82" s="1539" t="s">
        <v>854</v>
      </c>
      <c r="AL82" s="1539" t="s">
        <v>854</v>
      </c>
      <c r="AM82" s="1539" t="s">
        <v>1068</v>
      </c>
      <c r="AN82" s="1539" t="s">
        <v>854</v>
      </c>
      <c r="AO82" s="1539" t="s">
        <v>1069</v>
      </c>
      <c r="AP82" s="1539" t="s">
        <v>854</v>
      </c>
      <c r="AQ82" s="1539" t="s">
        <v>854</v>
      </c>
      <c r="AR82" s="1539" t="s">
        <v>854</v>
      </c>
      <c r="AS82" s="1539" t="s">
        <v>854</v>
      </c>
      <c r="AT82" s="1539" t="s">
        <v>854</v>
      </c>
      <c r="AU82" s="1539" t="s">
        <v>858</v>
      </c>
      <c r="AV82" s="1539" t="s">
        <v>1070</v>
      </c>
      <c r="AW82" s="1539" t="s">
        <v>855</v>
      </c>
      <c r="AX82" s="1539" t="s">
        <v>855</v>
      </c>
      <c r="AY82" s="1539" t="s">
        <v>855</v>
      </c>
      <c r="AZ82" s="1540" t="s">
        <v>855</v>
      </c>
      <c r="BA82" s="1367"/>
      <c r="BB82" s="1367"/>
    </row>
    <row r="83" spans="1:54" ht="409.6" hidden="1" thickBot="1" x14ac:dyDescent="0.4">
      <c r="A83" s="1367"/>
      <c r="B83" s="1590" t="s">
        <v>867</v>
      </c>
      <c r="C83" s="1414" t="s">
        <v>1073</v>
      </c>
      <c r="D83" s="1391" t="s">
        <v>1074</v>
      </c>
      <c r="E83" s="1378" t="s">
        <v>1059</v>
      </c>
      <c r="F83" s="1388" t="s">
        <v>849</v>
      </c>
      <c r="G83" s="1379" t="s">
        <v>850</v>
      </c>
      <c r="H83" s="1377" t="s">
        <v>870</v>
      </c>
      <c r="I83" s="1377" t="s">
        <v>852</v>
      </c>
      <c r="J83" s="1377"/>
      <c r="K83" s="1377"/>
      <c r="L83" s="1377" t="s">
        <v>852</v>
      </c>
      <c r="M83" s="1517" t="s">
        <v>852</v>
      </c>
      <c r="N83" s="1377"/>
      <c r="O83" s="1377"/>
      <c r="P83" s="1377"/>
      <c r="Q83" s="1377"/>
      <c r="R83" s="1388" t="s">
        <v>1075</v>
      </c>
      <c r="S83" s="1381" t="s">
        <v>854</v>
      </c>
      <c r="T83" s="1381" t="s">
        <v>854</v>
      </c>
      <c r="U83" s="1388" t="s">
        <v>1076</v>
      </c>
      <c r="V83" s="1388"/>
      <c r="W83" s="1388"/>
      <c r="X83" s="1388"/>
      <c r="Y83" s="1388"/>
      <c r="Z83" s="1388"/>
      <c r="AA83" s="1388"/>
      <c r="AB83" s="1390"/>
      <c r="AC83" s="1388"/>
      <c r="AD83" s="1388"/>
      <c r="AE83" s="1388"/>
      <c r="AF83" s="1388"/>
      <c r="AG83" s="1388"/>
      <c r="AH83" s="1388"/>
      <c r="AI83" s="1388"/>
      <c r="AJ83" s="1388"/>
      <c r="AK83" s="1388"/>
      <c r="AL83" s="1388"/>
      <c r="AM83" s="1388"/>
      <c r="AN83" s="1388"/>
      <c r="AO83" s="1388"/>
      <c r="AP83" s="1388"/>
      <c r="AQ83" s="1388"/>
      <c r="AR83" s="1388"/>
      <c r="AS83" s="1388"/>
      <c r="AT83" s="1388"/>
      <c r="AU83" s="1388"/>
      <c r="AV83" s="1388"/>
      <c r="AW83" s="1388"/>
      <c r="AX83" s="1391"/>
      <c r="AY83" s="1388"/>
      <c r="AZ83" s="1591"/>
      <c r="BA83" s="1367"/>
      <c r="BB83" s="1367"/>
    </row>
    <row r="84" spans="1:54" ht="409.6" hidden="1" thickBot="1" x14ac:dyDescent="0.4">
      <c r="A84" s="1367"/>
      <c r="B84" s="1592" t="s">
        <v>867</v>
      </c>
      <c r="C84" s="1485" t="s">
        <v>1077</v>
      </c>
      <c r="D84" s="1486" t="s">
        <v>1078</v>
      </c>
      <c r="E84" s="1516" t="s">
        <v>1059</v>
      </c>
      <c r="F84" s="1390" t="s">
        <v>849</v>
      </c>
      <c r="G84" s="1498" t="s">
        <v>850</v>
      </c>
      <c r="H84" s="1493" t="s">
        <v>870</v>
      </c>
      <c r="I84" s="1493" t="s">
        <v>852</v>
      </c>
      <c r="J84" s="1493"/>
      <c r="K84" s="1493"/>
      <c r="L84" s="1493" t="s">
        <v>852</v>
      </c>
      <c r="M84" s="1515" t="s">
        <v>852</v>
      </c>
      <c r="N84" s="1493"/>
      <c r="O84" s="1493"/>
      <c r="P84" s="1493"/>
      <c r="Q84" s="1493"/>
      <c r="R84" s="1390" t="s">
        <v>1079</v>
      </c>
      <c r="S84" s="1499" t="s">
        <v>854</v>
      </c>
      <c r="T84" s="1499" t="s">
        <v>854</v>
      </c>
      <c r="U84" s="1390" t="s">
        <v>1076</v>
      </c>
      <c r="V84" s="1390"/>
      <c r="W84" s="1390"/>
      <c r="X84" s="1390"/>
      <c r="Y84" s="1390"/>
      <c r="Z84" s="1390"/>
      <c r="AA84" s="1390"/>
      <c r="AB84" s="1390"/>
      <c r="AC84" s="1390"/>
      <c r="AD84" s="1390"/>
      <c r="AE84" s="1390"/>
      <c r="AF84" s="1390"/>
      <c r="AG84" s="1390"/>
      <c r="AH84" s="1390"/>
      <c r="AI84" s="1390"/>
      <c r="AJ84" s="1390"/>
      <c r="AK84" s="1390"/>
      <c r="AL84" s="1390"/>
      <c r="AM84" s="1390"/>
      <c r="AN84" s="1390"/>
      <c r="AO84" s="1390"/>
      <c r="AP84" s="1390"/>
      <c r="AQ84" s="1390"/>
      <c r="AR84" s="1390"/>
      <c r="AS84" s="1390"/>
      <c r="AT84" s="1390"/>
      <c r="AU84" s="1390"/>
      <c r="AV84" s="1390"/>
      <c r="AW84" s="1390"/>
      <c r="AX84" s="1486"/>
      <c r="AY84" s="1390"/>
      <c r="AZ84" s="1593"/>
      <c r="BA84" s="1367"/>
      <c r="BB84" s="1367"/>
    </row>
    <row r="85" spans="1:54" ht="135" x14ac:dyDescent="0.35">
      <c r="A85" s="1367"/>
      <c r="B85" s="1521" t="s">
        <v>1063</v>
      </c>
      <c r="C85" s="1522" t="s">
        <v>1080</v>
      </c>
      <c r="D85" s="1522" t="s">
        <v>1081</v>
      </c>
      <c r="E85" s="1523" t="s">
        <v>1059</v>
      </c>
      <c r="F85" s="1524" t="s">
        <v>849</v>
      </c>
      <c r="G85" s="1525" t="s">
        <v>850</v>
      </c>
      <c r="H85" s="1522" t="s">
        <v>1066</v>
      </c>
      <c r="I85" s="1522" t="s">
        <v>852</v>
      </c>
      <c r="J85" s="1522"/>
      <c r="K85" s="1522"/>
      <c r="L85" s="1377" t="s">
        <v>852</v>
      </c>
      <c r="M85" s="1384" t="s">
        <v>852</v>
      </c>
      <c r="N85" s="1377" t="s">
        <v>852</v>
      </c>
      <c r="O85" s="1377" t="s">
        <v>852</v>
      </c>
      <c r="P85" s="1377" t="s">
        <v>852</v>
      </c>
      <c r="Q85" s="1377" t="s">
        <v>852</v>
      </c>
      <c r="R85" s="1522" t="s">
        <v>854</v>
      </c>
      <c r="S85" s="1526" t="s">
        <v>854</v>
      </c>
      <c r="T85" s="1526" t="s">
        <v>854</v>
      </c>
      <c r="U85" s="1522">
        <v>0.9</v>
      </c>
      <c r="V85" s="1522">
        <v>5</v>
      </c>
      <c r="W85" s="1522" t="s">
        <v>854</v>
      </c>
      <c r="X85" s="1527">
        <v>223.73466135046431</v>
      </c>
      <c r="Y85" s="1661">
        <v>0.12342685639281469</v>
      </c>
      <c r="Z85" s="1661">
        <v>0.12342685639281469</v>
      </c>
      <c r="AA85" s="1528">
        <v>0.9</v>
      </c>
      <c r="AB85" s="1528">
        <v>0.9</v>
      </c>
      <c r="AC85" s="1528">
        <v>207.34116270177</v>
      </c>
      <c r="AD85" s="1528">
        <v>255.93810051804621</v>
      </c>
      <c r="AE85" s="1528">
        <v>255.93810051804621</v>
      </c>
      <c r="AF85" s="1528">
        <v>0.14281151483957202</v>
      </c>
      <c r="AG85" s="1528">
        <v>3367.2</v>
      </c>
      <c r="AH85" s="1528">
        <v>220.36784566836545</v>
      </c>
      <c r="AI85" s="1529">
        <v>-27</v>
      </c>
      <c r="AJ85" s="1541" t="s">
        <v>1067</v>
      </c>
      <c r="AK85" s="1529" t="s">
        <v>854</v>
      </c>
      <c r="AL85" s="1529" t="s">
        <v>854</v>
      </c>
      <c r="AM85" s="1541" t="s">
        <v>1068</v>
      </c>
      <c r="AN85" s="1529" t="s">
        <v>854</v>
      </c>
      <c r="AO85" s="1541" t="s">
        <v>1069</v>
      </c>
      <c r="AP85" s="1529" t="s">
        <v>854</v>
      </c>
      <c r="AQ85" s="1529" t="s">
        <v>854</v>
      </c>
      <c r="AR85" s="1529" t="s">
        <v>854</v>
      </c>
      <c r="AS85" s="1529" t="s">
        <v>854</v>
      </c>
      <c r="AT85" s="1529" t="s">
        <v>854</v>
      </c>
      <c r="AU85" s="1541" t="s">
        <v>858</v>
      </c>
      <c r="AV85" s="1541" t="s">
        <v>1070</v>
      </c>
      <c r="AW85" s="1529" t="s">
        <v>855</v>
      </c>
      <c r="AX85" s="1529" t="s">
        <v>855</v>
      </c>
      <c r="AY85" s="1542"/>
      <c r="AZ85" s="1543"/>
      <c r="BA85" s="1367"/>
      <c r="BB85" s="1367"/>
    </row>
    <row r="86" spans="1:54" ht="135.5" thickBot="1" x14ac:dyDescent="0.4">
      <c r="A86" s="1367"/>
      <c r="B86" s="1531" t="s">
        <v>845</v>
      </c>
      <c r="C86" s="1532" t="s">
        <v>1082</v>
      </c>
      <c r="D86" s="1532" t="s">
        <v>1083</v>
      </c>
      <c r="E86" s="1533" t="s">
        <v>1059</v>
      </c>
      <c r="F86" s="1534" t="s">
        <v>849</v>
      </c>
      <c r="G86" s="1535" t="s">
        <v>850</v>
      </c>
      <c r="H86" s="1532" t="s">
        <v>851</v>
      </c>
      <c r="I86" s="1532" t="s">
        <v>852</v>
      </c>
      <c r="J86" s="1532"/>
      <c r="K86" s="1532"/>
      <c r="L86" s="1532" t="s">
        <v>853</v>
      </c>
      <c r="M86" s="1532" t="s">
        <v>853</v>
      </c>
      <c r="N86" s="1532" t="s">
        <v>853</v>
      </c>
      <c r="O86" s="1532" t="s">
        <v>853</v>
      </c>
      <c r="P86" s="1532" t="s">
        <v>853</v>
      </c>
      <c r="Q86" s="1532" t="s">
        <v>853</v>
      </c>
      <c r="R86" s="1532" t="s">
        <v>854</v>
      </c>
      <c r="S86" s="1536" t="s">
        <v>854</v>
      </c>
      <c r="T86" s="1536" t="s">
        <v>854</v>
      </c>
      <c r="U86" s="1532">
        <v>0.9</v>
      </c>
      <c r="V86" s="1532">
        <v>5</v>
      </c>
      <c r="W86" s="1536" t="s">
        <v>290</v>
      </c>
      <c r="X86" s="1537">
        <v>48.370069667894512</v>
      </c>
      <c r="Y86" s="1662">
        <v>0.12342685639281469</v>
      </c>
      <c r="Z86" s="1662">
        <v>0.12342685639281469</v>
      </c>
      <c r="AA86" s="1538">
        <v>0.9</v>
      </c>
      <c r="AB86" s="1538">
        <v>0.9</v>
      </c>
      <c r="AC86" s="1538">
        <v>207.34116270177</v>
      </c>
      <c r="AD86" s="1538">
        <v>255.93810051804621</v>
      </c>
      <c r="AE86" s="1538">
        <v>255.93810051804621</v>
      </c>
      <c r="AF86" s="1538">
        <v>0.14645537242650319</v>
      </c>
      <c r="AG86" s="1538">
        <v>767.4</v>
      </c>
      <c r="AH86" s="1538">
        <v>50.219850623928608</v>
      </c>
      <c r="AI86" s="1539">
        <v>-27</v>
      </c>
      <c r="AJ86" s="1544" t="s">
        <v>1067</v>
      </c>
      <c r="AK86" s="1539" t="s">
        <v>854</v>
      </c>
      <c r="AL86" s="1539" t="s">
        <v>854</v>
      </c>
      <c r="AM86" s="1544" t="s">
        <v>1068</v>
      </c>
      <c r="AN86" s="1539" t="s">
        <v>854</v>
      </c>
      <c r="AO86" s="1544" t="s">
        <v>1069</v>
      </c>
      <c r="AP86" s="1539" t="s">
        <v>854</v>
      </c>
      <c r="AQ86" s="1539" t="s">
        <v>854</v>
      </c>
      <c r="AR86" s="1539" t="s">
        <v>854</v>
      </c>
      <c r="AS86" s="1539" t="s">
        <v>854</v>
      </c>
      <c r="AT86" s="1539" t="s">
        <v>854</v>
      </c>
      <c r="AU86" s="1544" t="s">
        <v>858</v>
      </c>
      <c r="AV86" s="1544" t="s">
        <v>1070</v>
      </c>
      <c r="AW86" s="1539" t="s">
        <v>855</v>
      </c>
      <c r="AX86" s="1539" t="s">
        <v>855</v>
      </c>
      <c r="AY86" s="1405"/>
      <c r="AZ86" s="1545"/>
      <c r="BA86" s="1367"/>
      <c r="BB86" s="1367"/>
    </row>
    <row r="87" spans="1:54" ht="409.6" hidden="1" thickBot="1" x14ac:dyDescent="0.6">
      <c r="A87" s="1367"/>
      <c r="B87" s="1590" t="s">
        <v>1084</v>
      </c>
      <c r="C87" s="1414" t="s">
        <v>1085</v>
      </c>
      <c r="D87" s="1391" t="s">
        <v>1086</v>
      </c>
      <c r="E87" s="1392" t="s">
        <v>1087</v>
      </c>
      <c r="F87" s="1388" t="s">
        <v>1088</v>
      </c>
      <c r="G87" s="1379" t="s">
        <v>850</v>
      </c>
      <c r="H87" s="1377" t="s">
        <v>870</v>
      </c>
      <c r="I87" s="1377" t="s">
        <v>852</v>
      </c>
      <c r="J87" s="1377"/>
      <c r="K87" s="1377"/>
      <c r="L87" s="1377" t="s">
        <v>852</v>
      </c>
      <c r="M87" s="1517" t="s">
        <v>852</v>
      </c>
      <c r="N87" s="1377"/>
      <c r="O87" s="1377"/>
      <c r="P87" s="1377"/>
      <c r="Q87" s="1377"/>
      <c r="R87" s="1388" t="s">
        <v>1089</v>
      </c>
      <c r="S87" s="1381" t="s">
        <v>854</v>
      </c>
      <c r="T87" s="1381" t="s">
        <v>854</v>
      </c>
      <c r="U87" s="1388" t="s">
        <v>1090</v>
      </c>
      <c r="V87" s="1388"/>
      <c r="W87" s="1388"/>
      <c r="X87" s="1388"/>
      <c r="Y87" s="1388"/>
      <c r="Z87" s="1388"/>
      <c r="AA87" s="1388"/>
      <c r="AB87" s="1390"/>
      <c r="AC87" s="1388"/>
      <c r="AD87" s="1388"/>
      <c r="AE87" s="1388"/>
      <c r="AF87" s="1388"/>
      <c r="AG87" s="1388"/>
      <c r="AH87" s="1388"/>
      <c r="AI87" s="1388"/>
      <c r="AJ87" s="1388"/>
      <c r="AK87" s="1388"/>
      <c r="AL87" s="1388"/>
      <c r="AM87" s="1388"/>
      <c r="AN87" s="1388"/>
      <c r="AO87" s="1388"/>
      <c r="AP87" s="1388"/>
      <c r="AQ87" s="1388"/>
      <c r="AR87" s="1388"/>
      <c r="AS87" s="1388"/>
      <c r="AT87" s="1388"/>
      <c r="AU87" s="1388"/>
      <c r="AV87" s="1388"/>
      <c r="AW87" s="1388"/>
      <c r="AX87" s="1391"/>
      <c r="AY87" s="1388"/>
      <c r="AZ87" s="1591"/>
      <c r="BA87" s="1367"/>
      <c r="BB87" s="1367"/>
    </row>
    <row r="88" spans="1:54" ht="409.6" hidden="1" thickBot="1" x14ac:dyDescent="0.6">
      <c r="A88" s="1367"/>
      <c r="B88" s="1590" t="s">
        <v>1084</v>
      </c>
      <c r="C88" s="1414" t="s">
        <v>1091</v>
      </c>
      <c r="D88" s="1391" t="s">
        <v>1092</v>
      </c>
      <c r="E88" s="1415" t="s">
        <v>1087</v>
      </c>
      <c r="F88" s="1388" t="s">
        <v>1088</v>
      </c>
      <c r="G88" s="1379" t="s">
        <v>850</v>
      </c>
      <c r="H88" s="1377" t="s">
        <v>870</v>
      </c>
      <c r="I88" s="1377" t="s">
        <v>852</v>
      </c>
      <c r="J88" s="1377"/>
      <c r="K88" s="1377"/>
      <c r="L88" s="1377" t="s">
        <v>852</v>
      </c>
      <c r="M88" s="1384" t="s">
        <v>852</v>
      </c>
      <c r="N88" s="1377"/>
      <c r="O88" s="1377"/>
      <c r="P88" s="1377"/>
      <c r="Q88" s="1377"/>
      <c r="R88" s="1388" t="s">
        <v>1089</v>
      </c>
      <c r="S88" s="1381" t="s">
        <v>854</v>
      </c>
      <c r="T88" s="1381" t="s">
        <v>854</v>
      </c>
      <c r="U88" s="1388" t="s">
        <v>1090</v>
      </c>
      <c r="V88" s="1388"/>
      <c r="W88" s="1388"/>
      <c r="X88" s="1388"/>
      <c r="Y88" s="1388"/>
      <c r="Z88" s="1388"/>
      <c r="AA88" s="1388"/>
      <c r="AB88" s="1390"/>
      <c r="AC88" s="1388"/>
      <c r="AD88" s="1388"/>
      <c r="AE88" s="1388"/>
      <c r="AF88" s="1388"/>
      <c r="AG88" s="1388"/>
      <c r="AH88" s="1388"/>
      <c r="AI88" s="1388"/>
      <c r="AJ88" s="1388"/>
      <c r="AK88" s="1388"/>
      <c r="AL88" s="1388"/>
      <c r="AM88" s="1388"/>
      <c r="AN88" s="1388"/>
      <c r="AO88" s="1388"/>
      <c r="AP88" s="1388"/>
      <c r="AQ88" s="1388"/>
      <c r="AR88" s="1388"/>
      <c r="AS88" s="1388"/>
      <c r="AT88" s="1388"/>
      <c r="AU88" s="1388"/>
      <c r="AV88" s="1388"/>
      <c r="AW88" s="1388"/>
      <c r="AX88" s="1391"/>
      <c r="AY88" s="1388"/>
      <c r="AZ88" s="1591"/>
      <c r="BA88" s="1367"/>
      <c r="BB88" s="1367"/>
    </row>
    <row r="89" spans="1:54" ht="135.5" hidden="1" thickBot="1" x14ac:dyDescent="0.6">
      <c r="A89" s="1367"/>
      <c r="B89" s="1590" t="s">
        <v>867</v>
      </c>
      <c r="C89" s="1414" t="s">
        <v>1093</v>
      </c>
      <c r="D89" s="1391" t="s">
        <v>1094</v>
      </c>
      <c r="E89" s="1415" t="s">
        <v>889</v>
      </c>
      <c r="F89" s="1388" t="s">
        <v>849</v>
      </c>
      <c r="G89" s="1379" t="s">
        <v>850</v>
      </c>
      <c r="H89" s="1377" t="s">
        <v>870</v>
      </c>
      <c r="I89" s="1377" t="s">
        <v>852</v>
      </c>
      <c r="J89" s="1377"/>
      <c r="K89" s="1377"/>
      <c r="L89" s="1377" t="s">
        <v>852</v>
      </c>
      <c r="M89" s="1384" t="s">
        <v>852</v>
      </c>
      <c r="N89" s="1377"/>
      <c r="O89" s="1377"/>
      <c r="P89" s="1377"/>
      <c r="Q89" s="1377"/>
      <c r="R89" s="1388" t="s">
        <v>1095</v>
      </c>
      <c r="S89" s="1381" t="s">
        <v>854</v>
      </c>
      <c r="T89" s="1381" t="s">
        <v>854</v>
      </c>
      <c r="U89" s="1388">
        <v>0</v>
      </c>
      <c r="V89" s="1388"/>
      <c r="W89" s="1388"/>
      <c r="X89" s="1388"/>
      <c r="Y89" s="1388"/>
      <c r="Z89" s="1388"/>
      <c r="AA89" s="1388"/>
      <c r="AB89" s="1390"/>
      <c r="AC89" s="1388"/>
      <c r="AD89" s="1388"/>
      <c r="AE89" s="1388"/>
      <c r="AF89" s="1388"/>
      <c r="AG89" s="1388"/>
      <c r="AH89" s="1388"/>
      <c r="AI89" s="1388"/>
      <c r="AJ89" s="1388"/>
      <c r="AK89" s="1388"/>
      <c r="AL89" s="1388"/>
      <c r="AM89" s="1388"/>
      <c r="AN89" s="1388"/>
      <c r="AO89" s="1388"/>
      <c r="AP89" s="1388"/>
      <c r="AQ89" s="1388"/>
      <c r="AR89" s="1388"/>
      <c r="AS89" s="1388"/>
      <c r="AT89" s="1388"/>
      <c r="AU89" s="1388"/>
      <c r="AV89" s="1388"/>
      <c r="AW89" s="1388"/>
      <c r="AX89" s="1391"/>
      <c r="AY89" s="1388"/>
      <c r="AZ89" s="1591"/>
      <c r="BA89" s="1367"/>
      <c r="BB89" s="1367"/>
    </row>
    <row r="90" spans="1:54" ht="135.5" hidden="1" thickBot="1" x14ac:dyDescent="0.6">
      <c r="A90" s="1367"/>
      <c r="B90" s="1590" t="s">
        <v>867</v>
      </c>
      <c r="C90" s="1414" t="s">
        <v>1096</v>
      </c>
      <c r="D90" s="1391" t="s">
        <v>1097</v>
      </c>
      <c r="E90" s="1415" t="s">
        <v>889</v>
      </c>
      <c r="F90" s="1388" t="s">
        <v>849</v>
      </c>
      <c r="G90" s="1379" t="s">
        <v>850</v>
      </c>
      <c r="H90" s="1377" t="s">
        <v>870</v>
      </c>
      <c r="I90" s="1377" t="s">
        <v>852</v>
      </c>
      <c r="J90" s="1377"/>
      <c r="K90" s="1377"/>
      <c r="L90" s="1377" t="s">
        <v>852</v>
      </c>
      <c r="M90" s="1384" t="s">
        <v>852</v>
      </c>
      <c r="N90" s="1377"/>
      <c r="O90" s="1377"/>
      <c r="P90" s="1377"/>
      <c r="Q90" s="1377"/>
      <c r="R90" s="1388" t="s">
        <v>1095</v>
      </c>
      <c r="S90" s="1381" t="s">
        <v>854</v>
      </c>
      <c r="T90" s="1381" t="s">
        <v>854</v>
      </c>
      <c r="U90" s="1388">
        <v>0</v>
      </c>
      <c r="V90" s="1388"/>
      <c r="W90" s="1388"/>
      <c r="X90" s="1388"/>
      <c r="Y90" s="1388"/>
      <c r="Z90" s="1388"/>
      <c r="AA90" s="1388"/>
      <c r="AB90" s="1390"/>
      <c r="AC90" s="1388"/>
      <c r="AD90" s="1388"/>
      <c r="AE90" s="1388"/>
      <c r="AF90" s="1388"/>
      <c r="AG90" s="1388"/>
      <c r="AH90" s="1388"/>
      <c r="AI90" s="1388"/>
      <c r="AJ90" s="1388"/>
      <c r="AK90" s="1388"/>
      <c r="AL90" s="1388"/>
      <c r="AM90" s="1388"/>
      <c r="AN90" s="1388"/>
      <c r="AO90" s="1388"/>
      <c r="AP90" s="1388"/>
      <c r="AQ90" s="1388"/>
      <c r="AR90" s="1388"/>
      <c r="AS90" s="1388"/>
      <c r="AT90" s="1388"/>
      <c r="AU90" s="1388"/>
      <c r="AV90" s="1388"/>
      <c r="AW90" s="1388"/>
      <c r="AX90" s="1391"/>
      <c r="AY90" s="1388"/>
      <c r="AZ90" s="1591"/>
      <c r="BA90" s="1367"/>
      <c r="BB90" s="1367"/>
    </row>
    <row r="91" spans="1:54" ht="135.5" hidden="1" thickBot="1" x14ac:dyDescent="0.6">
      <c r="A91" s="1367"/>
      <c r="B91" s="1590" t="s">
        <v>867</v>
      </c>
      <c r="C91" s="1414" t="s">
        <v>1098</v>
      </c>
      <c r="D91" s="1391" t="s">
        <v>1099</v>
      </c>
      <c r="E91" s="1415" t="s">
        <v>889</v>
      </c>
      <c r="F91" s="1388" t="s">
        <v>849</v>
      </c>
      <c r="G91" s="1379" t="s">
        <v>850</v>
      </c>
      <c r="H91" s="1377" t="s">
        <v>870</v>
      </c>
      <c r="I91" s="1377" t="s">
        <v>852</v>
      </c>
      <c r="J91" s="1377"/>
      <c r="K91" s="1377"/>
      <c r="L91" s="1377" t="s">
        <v>852</v>
      </c>
      <c r="M91" s="1384" t="s">
        <v>852</v>
      </c>
      <c r="N91" s="1377"/>
      <c r="O91" s="1377"/>
      <c r="P91" s="1377"/>
      <c r="Q91" s="1377"/>
      <c r="R91" s="1388" t="s">
        <v>1095</v>
      </c>
      <c r="S91" s="1381" t="s">
        <v>854</v>
      </c>
      <c r="T91" s="1381" t="s">
        <v>854</v>
      </c>
      <c r="U91" s="1388">
        <v>0</v>
      </c>
      <c r="V91" s="1388"/>
      <c r="W91" s="1388"/>
      <c r="X91" s="1388"/>
      <c r="Y91" s="1388"/>
      <c r="Z91" s="1388"/>
      <c r="AA91" s="1388"/>
      <c r="AB91" s="1390"/>
      <c r="AC91" s="1388"/>
      <c r="AD91" s="1388"/>
      <c r="AE91" s="1388"/>
      <c r="AF91" s="1388"/>
      <c r="AG91" s="1388"/>
      <c r="AH91" s="1388"/>
      <c r="AI91" s="1388"/>
      <c r="AJ91" s="1388"/>
      <c r="AK91" s="1388"/>
      <c r="AL91" s="1388"/>
      <c r="AM91" s="1388"/>
      <c r="AN91" s="1388"/>
      <c r="AO91" s="1388"/>
      <c r="AP91" s="1388"/>
      <c r="AQ91" s="1388"/>
      <c r="AR91" s="1388"/>
      <c r="AS91" s="1388"/>
      <c r="AT91" s="1388"/>
      <c r="AU91" s="1388"/>
      <c r="AV91" s="1388"/>
      <c r="AW91" s="1388"/>
      <c r="AX91" s="1391"/>
      <c r="AY91" s="1388"/>
      <c r="AZ91" s="1591"/>
      <c r="BA91" s="1367"/>
      <c r="BB91" s="1367"/>
    </row>
    <row r="92" spans="1:54" ht="135.5" hidden="1" thickBot="1" x14ac:dyDescent="0.6">
      <c r="A92" s="1367"/>
      <c r="B92" s="1590" t="s">
        <v>867</v>
      </c>
      <c r="C92" s="1414" t="s">
        <v>1100</v>
      </c>
      <c r="D92" s="1391" t="s">
        <v>1101</v>
      </c>
      <c r="E92" s="1415" t="s">
        <v>889</v>
      </c>
      <c r="F92" s="1388" t="s">
        <v>849</v>
      </c>
      <c r="G92" s="1379" t="s">
        <v>850</v>
      </c>
      <c r="H92" s="1377" t="s">
        <v>870</v>
      </c>
      <c r="I92" s="1377" t="s">
        <v>852</v>
      </c>
      <c r="J92" s="1377"/>
      <c r="K92" s="1377"/>
      <c r="L92" s="1377" t="s">
        <v>852</v>
      </c>
      <c r="M92" s="1384" t="s">
        <v>852</v>
      </c>
      <c r="N92" s="1377"/>
      <c r="O92" s="1377"/>
      <c r="P92" s="1377"/>
      <c r="Q92" s="1377"/>
      <c r="R92" s="1388" t="s">
        <v>1095</v>
      </c>
      <c r="S92" s="1381" t="s">
        <v>854</v>
      </c>
      <c r="T92" s="1381" t="s">
        <v>854</v>
      </c>
      <c r="U92" s="1388">
        <v>0</v>
      </c>
      <c r="V92" s="1388"/>
      <c r="W92" s="1388"/>
      <c r="X92" s="1388"/>
      <c r="Y92" s="1388"/>
      <c r="Z92" s="1388"/>
      <c r="AA92" s="1388"/>
      <c r="AB92" s="1390"/>
      <c r="AC92" s="1388"/>
      <c r="AD92" s="1388"/>
      <c r="AE92" s="1388"/>
      <c r="AF92" s="1388"/>
      <c r="AG92" s="1388"/>
      <c r="AH92" s="1388"/>
      <c r="AI92" s="1388"/>
      <c r="AJ92" s="1388"/>
      <c r="AK92" s="1388"/>
      <c r="AL92" s="1388"/>
      <c r="AM92" s="1388"/>
      <c r="AN92" s="1388"/>
      <c r="AO92" s="1388"/>
      <c r="AP92" s="1388"/>
      <c r="AQ92" s="1388"/>
      <c r="AR92" s="1388"/>
      <c r="AS92" s="1388"/>
      <c r="AT92" s="1388"/>
      <c r="AU92" s="1388"/>
      <c r="AV92" s="1388"/>
      <c r="AW92" s="1388"/>
      <c r="AX92" s="1391"/>
      <c r="AY92" s="1388"/>
      <c r="AZ92" s="1591"/>
      <c r="BA92" s="1367"/>
      <c r="BB92" s="1367"/>
    </row>
    <row r="93" spans="1:54" ht="90.5" hidden="1" thickBot="1" x14ac:dyDescent="0.6">
      <c r="A93" s="1367"/>
      <c r="B93" s="1590" t="s">
        <v>867</v>
      </c>
      <c r="C93" s="1414" t="s">
        <v>1102</v>
      </c>
      <c r="D93" s="1391" t="s">
        <v>1103</v>
      </c>
      <c r="E93" s="1415" t="s">
        <v>863</v>
      </c>
      <c r="F93" s="1388" t="s">
        <v>849</v>
      </c>
      <c r="G93" s="1379" t="s">
        <v>850</v>
      </c>
      <c r="H93" s="1377" t="s">
        <v>870</v>
      </c>
      <c r="I93" s="1377" t="s">
        <v>852</v>
      </c>
      <c r="J93" s="1377"/>
      <c r="K93" s="1377"/>
      <c r="L93" s="1377" t="s">
        <v>852</v>
      </c>
      <c r="M93" s="1384" t="s">
        <v>852</v>
      </c>
      <c r="N93" s="1377"/>
      <c r="O93" s="1377"/>
      <c r="P93" s="1377"/>
      <c r="Q93" s="1377"/>
      <c r="R93" s="1388" t="s">
        <v>1104</v>
      </c>
      <c r="S93" s="1381" t="s">
        <v>854</v>
      </c>
      <c r="T93" s="1381" t="s">
        <v>854</v>
      </c>
      <c r="U93" s="1388">
        <v>0</v>
      </c>
      <c r="V93" s="1388"/>
      <c r="W93" s="1388"/>
      <c r="X93" s="1388"/>
      <c r="Y93" s="1388"/>
      <c r="Z93" s="1388"/>
      <c r="AA93" s="1388"/>
      <c r="AB93" s="1390"/>
      <c r="AC93" s="1388"/>
      <c r="AD93" s="1388"/>
      <c r="AE93" s="1388"/>
      <c r="AF93" s="1388"/>
      <c r="AG93" s="1388"/>
      <c r="AH93" s="1388"/>
      <c r="AI93" s="1388"/>
      <c r="AJ93" s="1388"/>
      <c r="AK93" s="1388"/>
      <c r="AL93" s="1388"/>
      <c r="AM93" s="1388"/>
      <c r="AN93" s="1388"/>
      <c r="AO93" s="1388"/>
      <c r="AP93" s="1388"/>
      <c r="AQ93" s="1388"/>
      <c r="AR93" s="1388"/>
      <c r="AS93" s="1388"/>
      <c r="AT93" s="1388"/>
      <c r="AU93" s="1388"/>
      <c r="AV93" s="1388"/>
      <c r="AW93" s="1388"/>
      <c r="AX93" s="1391"/>
      <c r="AY93" s="1388"/>
      <c r="AZ93" s="1591"/>
      <c r="BA93" s="1367"/>
      <c r="BB93" s="1367"/>
    </row>
    <row r="94" spans="1:54" ht="68" hidden="1" thickBot="1" x14ac:dyDescent="0.6">
      <c r="A94" s="1367"/>
      <c r="B94" s="1590" t="s">
        <v>867</v>
      </c>
      <c r="C94" s="1414" t="s">
        <v>1105</v>
      </c>
      <c r="D94" s="1391" t="s">
        <v>1106</v>
      </c>
      <c r="E94" s="1415" t="s">
        <v>893</v>
      </c>
      <c r="F94" s="1388" t="s">
        <v>849</v>
      </c>
      <c r="G94" s="1379" t="s">
        <v>850</v>
      </c>
      <c r="H94" s="1377" t="s">
        <v>870</v>
      </c>
      <c r="I94" s="1377" t="s">
        <v>852</v>
      </c>
      <c r="J94" s="1377"/>
      <c r="K94" s="1377"/>
      <c r="L94" s="1377" t="s">
        <v>852</v>
      </c>
      <c r="M94" s="1384" t="s">
        <v>852</v>
      </c>
      <c r="N94" s="1377"/>
      <c r="O94" s="1377"/>
      <c r="P94" s="1377"/>
      <c r="Q94" s="1377"/>
      <c r="R94" s="1388" t="s">
        <v>1036</v>
      </c>
      <c r="S94" s="1381" t="s">
        <v>854</v>
      </c>
      <c r="T94" s="1381" t="s">
        <v>854</v>
      </c>
      <c r="U94" s="1388">
        <v>0</v>
      </c>
      <c r="V94" s="1388"/>
      <c r="W94" s="1388"/>
      <c r="X94" s="1388"/>
      <c r="Y94" s="1388"/>
      <c r="Z94" s="1388"/>
      <c r="AA94" s="1388"/>
      <c r="AB94" s="1390"/>
      <c r="AC94" s="1388"/>
      <c r="AD94" s="1388"/>
      <c r="AE94" s="1388"/>
      <c r="AF94" s="1388"/>
      <c r="AG94" s="1388"/>
      <c r="AH94" s="1388"/>
      <c r="AI94" s="1388"/>
      <c r="AJ94" s="1388"/>
      <c r="AK94" s="1388"/>
      <c r="AL94" s="1388"/>
      <c r="AM94" s="1388"/>
      <c r="AN94" s="1388"/>
      <c r="AO94" s="1388"/>
      <c r="AP94" s="1388"/>
      <c r="AQ94" s="1388"/>
      <c r="AR94" s="1388"/>
      <c r="AS94" s="1388"/>
      <c r="AT94" s="1388"/>
      <c r="AU94" s="1388"/>
      <c r="AV94" s="1388"/>
      <c r="AW94" s="1388"/>
      <c r="AX94" s="1391"/>
      <c r="AY94" s="1388"/>
      <c r="AZ94" s="1591"/>
      <c r="BA94" s="1367"/>
      <c r="BB94" s="1367"/>
    </row>
    <row r="95" spans="1:54" ht="68" hidden="1" thickBot="1" x14ac:dyDescent="0.6">
      <c r="A95" s="1367"/>
      <c r="B95" s="1590" t="s">
        <v>867</v>
      </c>
      <c r="C95" s="1414" t="s">
        <v>1107</v>
      </c>
      <c r="D95" s="1391" t="s">
        <v>1108</v>
      </c>
      <c r="E95" s="1415" t="s">
        <v>893</v>
      </c>
      <c r="F95" s="1388" t="s">
        <v>849</v>
      </c>
      <c r="G95" s="1379" t="s">
        <v>850</v>
      </c>
      <c r="H95" s="1377" t="s">
        <v>870</v>
      </c>
      <c r="I95" s="1377" t="s">
        <v>852</v>
      </c>
      <c r="J95" s="1377"/>
      <c r="K95" s="1377"/>
      <c r="L95" s="1377" t="s">
        <v>852</v>
      </c>
      <c r="M95" s="1384" t="s">
        <v>852</v>
      </c>
      <c r="N95" s="1377"/>
      <c r="O95" s="1377"/>
      <c r="P95" s="1377"/>
      <c r="Q95" s="1377"/>
      <c r="R95" s="1388" t="s">
        <v>1036</v>
      </c>
      <c r="S95" s="1381" t="s">
        <v>854</v>
      </c>
      <c r="T95" s="1381" t="s">
        <v>854</v>
      </c>
      <c r="U95" s="1388">
        <v>0</v>
      </c>
      <c r="V95" s="1388"/>
      <c r="W95" s="1388"/>
      <c r="X95" s="1388"/>
      <c r="Y95" s="1388"/>
      <c r="Z95" s="1388"/>
      <c r="AA95" s="1388"/>
      <c r="AB95" s="1390"/>
      <c r="AC95" s="1388"/>
      <c r="AD95" s="1388"/>
      <c r="AE95" s="1388"/>
      <c r="AF95" s="1388"/>
      <c r="AG95" s="1388"/>
      <c r="AH95" s="1388"/>
      <c r="AI95" s="1388"/>
      <c r="AJ95" s="1388"/>
      <c r="AK95" s="1388"/>
      <c r="AL95" s="1388"/>
      <c r="AM95" s="1388"/>
      <c r="AN95" s="1388"/>
      <c r="AO95" s="1388"/>
      <c r="AP95" s="1388"/>
      <c r="AQ95" s="1388"/>
      <c r="AR95" s="1388"/>
      <c r="AS95" s="1388"/>
      <c r="AT95" s="1388"/>
      <c r="AU95" s="1388"/>
      <c r="AV95" s="1388"/>
      <c r="AW95" s="1388"/>
      <c r="AX95" s="1391"/>
      <c r="AY95" s="1388"/>
      <c r="AZ95" s="1591"/>
      <c r="BA95" s="1367"/>
      <c r="BB95" s="1367"/>
    </row>
    <row r="96" spans="1:54" ht="71" hidden="1" thickBot="1" x14ac:dyDescent="0.6">
      <c r="A96" s="1367"/>
      <c r="B96" s="1590" t="s">
        <v>867</v>
      </c>
      <c r="C96" s="1414" t="s">
        <v>1109</v>
      </c>
      <c r="D96" s="1391" t="s">
        <v>1110</v>
      </c>
      <c r="E96" s="1415" t="s">
        <v>944</v>
      </c>
      <c r="F96" s="1388" t="s">
        <v>849</v>
      </c>
      <c r="G96" s="1379" t="s">
        <v>850</v>
      </c>
      <c r="H96" s="1377" t="s">
        <v>870</v>
      </c>
      <c r="I96" s="1377" t="s">
        <v>853</v>
      </c>
      <c r="J96" s="1377"/>
      <c r="K96" s="1377"/>
      <c r="L96" s="1377" t="s">
        <v>852</v>
      </c>
      <c r="M96" s="1384" t="s">
        <v>852</v>
      </c>
      <c r="N96" s="1377"/>
      <c r="O96" s="1377"/>
      <c r="P96" s="1377"/>
      <c r="Q96" s="1377"/>
      <c r="R96" s="1388" t="s">
        <v>1111</v>
      </c>
      <c r="S96" s="1388" t="s">
        <v>946</v>
      </c>
      <c r="T96" s="1381" t="s">
        <v>85</v>
      </c>
      <c r="U96" s="1388">
        <v>6</v>
      </c>
      <c r="V96" s="1388"/>
      <c r="W96" s="1388"/>
      <c r="X96" s="1388"/>
      <c r="Y96" s="1388"/>
      <c r="Z96" s="1388"/>
      <c r="AA96" s="1388"/>
      <c r="AB96" s="1390"/>
      <c r="AC96" s="1388"/>
      <c r="AD96" s="1388"/>
      <c r="AE96" s="1388"/>
      <c r="AF96" s="1388"/>
      <c r="AG96" s="1388"/>
      <c r="AH96" s="1388"/>
      <c r="AI96" s="1388"/>
      <c r="AJ96" s="1388"/>
      <c r="AK96" s="1388"/>
      <c r="AL96" s="1388"/>
      <c r="AM96" s="1388"/>
      <c r="AN96" s="1388"/>
      <c r="AO96" s="1388"/>
      <c r="AP96" s="1388"/>
      <c r="AQ96" s="1388"/>
      <c r="AR96" s="1388"/>
      <c r="AS96" s="1388"/>
      <c r="AT96" s="1388"/>
      <c r="AU96" s="1388"/>
      <c r="AV96" s="1388"/>
      <c r="AW96" s="1388"/>
      <c r="AX96" s="1391"/>
      <c r="AY96" s="1388"/>
      <c r="AZ96" s="1591"/>
      <c r="BA96" s="1367"/>
      <c r="BB96" s="1367"/>
    </row>
    <row r="97" spans="1:54" ht="71" hidden="1" thickBot="1" x14ac:dyDescent="0.6">
      <c r="A97" s="1367"/>
      <c r="B97" s="1590" t="s">
        <v>867</v>
      </c>
      <c r="C97" s="1414" t="s">
        <v>1112</v>
      </c>
      <c r="D97" s="1391" t="s">
        <v>1113</v>
      </c>
      <c r="E97" s="1415" t="s">
        <v>944</v>
      </c>
      <c r="F97" s="1388" t="s">
        <v>849</v>
      </c>
      <c r="G97" s="1379" t="s">
        <v>850</v>
      </c>
      <c r="H97" s="1377" t="s">
        <v>870</v>
      </c>
      <c r="I97" s="1377" t="s">
        <v>853</v>
      </c>
      <c r="J97" s="1377"/>
      <c r="K97" s="1377"/>
      <c r="L97" s="1377" t="s">
        <v>852</v>
      </c>
      <c r="M97" s="1384" t="s">
        <v>852</v>
      </c>
      <c r="N97" s="1377"/>
      <c r="O97" s="1377"/>
      <c r="P97" s="1377"/>
      <c r="Q97" s="1377"/>
      <c r="R97" s="1388" t="s">
        <v>1114</v>
      </c>
      <c r="S97" s="1388" t="s">
        <v>946</v>
      </c>
      <c r="T97" s="1381" t="s">
        <v>85</v>
      </c>
      <c r="U97" s="1388">
        <v>6</v>
      </c>
      <c r="V97" s="1388"/>
      <c r="W97" s="1388"/>
      <c r="X97" s="1388"/>
      <c r="Y97" s="1388"/>
      <c r="Z97" s="1388"/>
      <c r="AA97" s="1388"/>
      <c r="AB97" s="1390"/>
      <c r="AC97" s="1388"/>
      <c r="AD97" s="1388"/>
      <c r="AE97" s="1388"/>
      <c r="AF97" s="1388"/>
      <c r="AG97" s="1388"/>
      <c r="AH97" s="1388"/>
      <c r="AI97" s="1388"/>
      <c r="AJ97" s="1388"/>
      <c r="AK97" s="1388"/>
      <c r="AL97" s="1388"/>
      <c r="AM97" s="1388"/>
      <c r="AN97" s="1388"/>
      <c r="AO97" s="1388"/>
      <c r="AP97" s="1388"/>
      <c r="AQ97" s="1388"/>
      <c r="AR97" s="1388"/>
      <c r="AS97" s="1388"/>
      <c r="AT97" s="1388"/>
      <c r="AU97" s="1388"/>
      <c r="AV97" s="1388"/>
      <c r="AW97" s="1388"/>
      <c r="AX97" s="1391"/>
      <c r="AY97" s="1388"/>
      <c r="AZ97" s="1591"/>
      <c r="BA97" s="1367"/>
      <c r="BB97" s="1367"/>
    </row>
    <row r="98" spans="1:54" ht="71" hidden="1" thickBot="1" x14ac:dyDescent="0.6">
      <c r="A98" s="1367"/>
      <c r="B98" s="1590" t="s">
        <v>867</v>
      </c>
      <c r="C98" s="1414" t="s">
        <v>1115</v>
      </c>
      <c r="D98" s="1391" t="s">
        <v>1116</v>
      </c>
      <c r="E98" s="1415" t="s">
        <v>944</v>
      </c>
      <c r="F98" s="1388" t="s">
        <v>849</v>
      </c>
      <c r="G98" s="1379" t="s">
        <v>850</v>
      </c>
      <c r="H98" s="1377" t="s">
        <v>870</v>
      </c>
      <c r="I98" s="1377" t="s">
        <v>853</v>
      </c>
      <c r="J98" s="1377"/>
      <c r="K98" s="1377"/>
      <c r="L98" s="1377" t="s">
        <v>852</v>
      </c>
      <c r="M98" s="1384" t="s">
        <v>852</v>
      </c>
      <c r="N98" s="1377"/>
      <c r="O98" s="1377"/>
      <c r="P98" s="1377"/>
      <c r="Q98" s="1377"/>
      <c r="R98" s="1388" t="s">
        <v>1117</v>
      </c>
      <c r="S98" s="1388" t="s">
        <v>946</v>
      </c>
      <c r="T98" s="1381" t="s">
        <v>85</v>
      </c>
      <c r="U98" s="1388">
        <v>6</v>
      </c>
      <c r="V98" s="1388"/>
      <c r="W98" s="1388"/>
      <c r="X98" s="1388"/>
      <c r="Y98" s="1388"/>
      <c r="Z98" s="1388"/>
      <c r="AA98" s="1388"/>
      <c r="AB98" s="1390"/>
      <c r="AC98" s="1388"/>
      <c r="AD98" s="1388"/>
      <c r="AE98" s="1388"/>
      <c r="AF98" s="1388"/>
      <c r="AG98" s="1388"/>
      <c r="AH98" s="1388"/>
      <c r="AI98" s="1388"/>
      <c r="AJ98" s="1388"/>
      <c r="AK98" s="1388"/>
      <c r="AL98" s="1388"/>
      <c r="AM98" s="1388"/>
      <c r="AN98" s="1388"/>
      <c r="AO98" s="1388"/>
      <c r="AP98" s="1388"/>
      <c r="AQ98" s="1388"/>
      <c r="AR98" s="1388"/>
      <c r="AS98" s="1388"/>
      <c r="AT98" s="1388"/>
      <c r="AU98" s="1388"/>
      <c r="AV98" s="1388"/>
      <c r="AW98" s="1388"/>
      <c r="AX98" s="1391"/>
      <c r="AY98" s="1388"/>
      <c r="AZ98" s="1591"/>
      <c r="BA98" s="1367"/>
      <c r="BB98" s="1367"/>
    </row>
    <row r="99" spans="1:54" ht="68" hidden="1" thickBot="1" x14ac:dyDescent="0.6">
      <c r="A99" s="1367"/>
      <c r="B99" s="1590" t="s">
        <v>867</v>
      </c>
      <c r="C99" s="1414" t="s">
        <v>1118</v>
      </c>
      <c r="D99" s="1391" t="s">
        <v>1119</v>
      </c>
      <c r="E99" s="1415" t="s">
        <v>889</v>
      </c>
      <c r="F99" s="1388" t="s">
        <v>849</v>
      </c>
      <c r="G99" s="1379" t="s">
        <v>850</v>
      </c>
      <c r="H99" s="1377" t="s">
        <v>870</v>
      </c>
      <c r="I99" s="1377" t="s">
        <v>852</v>
      </c>
      <c r="J99" s="1377"/>
      <c r="K99" s="1377"/>
      <c r="L99" s="1377" t="s">
        <v>852</v>
      </c>
      <c r="M99" s="1384" t="s">
        <v>852</v>
      </c>
      <c r="N99" s="1377"/>
      <c r="O99" s="1377"/>
      <c r="P99" s="1377"/>
      <c r="Q99" s="1377"/>
      <c r="R99" s="1388" t="s">
        <v>1120</v>
      </c>
      <c r="S99" s="1381" t="s">
        <v>854</v>
      </c>
      <c r="T99" s="1381" t="s">
        <v>854</v>
      </c>
      <c r="U99" s="1388">
        <v>0</v>
      </c>
      <c r="V99" s="1388"/>
      <c r="W99" s="1388"/>
      <c r="X99" s="1388"/>
      <c r="Y99" s="1388"/>
      <c r="Z99" s="1388"/>
      <c r="AA99" s="1388"/>
      <c r="AB99" s="1390"/>
      <c r="AC99" s="1388"/>
      <c r="AD99" s="1388"/>
      <c r="AE99" s="1388"/>
      <c r="AF99" s="1388"/>
      <c r="AG99" s="1388"/>
      <c r="AH99" s="1388"/>
      <c r="AI99" s="1388"/>
      <c r="AJ99" s="1388"/>
      <c r="AK99" s="1388"/>
      <c r="AL99" s="1388"/>
      <c r="AM99" s="1388"/>
      <c r="AN99" s="1388"/>
      <c r="AO99" s="1388"/>
      <c r="AP99" s="1388"/>
      <c r="AQ99" s="1388"/>
      <c r="AR99" s="1388"/>
      <c r="AS99" s="1388"/>
      <c r="AT99" s="1388"/>
      <c r="AU99" s="1388"/>
      <c r="AV99" s="1388"/>
      <c r="AW99" s="1388"/>
      <c r="AX99" s="1391"/>
      <c r="AY99" s="1388"/>
      <c r="AZ99" s="1591"/>
      <c r="BA99" s="1367"/>
      <c r="BB99" s="1367"/>
    </row>
    <row r="100" spans="1:54" ht="68" hidden="1" thickBot="1" x14ac:dyDescent="0.6">
      <c r="A100" s="1367"/>
      <c r="B100" s="1590" t="s">
        <v>867</v>
      </c>
      <c r="C100" s="1414" t="s">
        <v>1121</v>
      </c>
      <c r="D100" s="1391" t="s">
        <v>1122</v>
      </c>
      <c r="E100" s="1415" t="s">
        <v>889</v>
      </c>
      <c r="F100" s="1388" t="s">
        <v>849</v>
      </c>
      <c r="G100" s="1379" t="s">
        <v>850</v>
      </c>
      <c r="H100" s="1377" t="s">
        <v>870</v>
      </c>
      <c r="I100" s="1377" t="s">
        <v>852</v>
      </c>
      <c r="J100" s="1377"/>
      <c r="K100" s="1377"/>
      <c r="L100" s="1377" t="s">
        <v>852</v>
      </c>
      <c r="M100" s="1384" t="s">
        <v>852</v>
      </c>
      <c r="N100" s="1377"/>
      <c r="O100" s="1377"/>
      <c r="P100" s="1377"/>
      <c r="Q100" s="1377"/>
      <c r="R100" s="1388" t="s">
        <v>1120</v>
      </c>
      <c r="S100" s="1381" t="s">
        <v>854</v>
      </c>
      <c r="T100" s="1381" t="s">
        <v>854</v>
      </c>
      <c r="U100" s="1388">
        <v>0</v>
      </c>
      <c r="V100" s="1388"/>
      <c r="W100" s="1388"/>
      <c r="X100" s="1388"/>
      <c r="Y100" s="1388"/>
      <c r="Z100" s="1388"/>
      <c r="AA100" s="1388"/>
      <c r="AB100" s="1390"/>
      <c r="AC100" s="1388"/>
      <c r="AD100" s="1388"/>
      <c r="AE100" s="1388"/>
      <c r="AF100" s="1388"/>
      <c r="AG100" s="1388"/>
      <c r="AH100" s="1388"/>
      <c r="AI100" s="1388"/>
      <c r="AJ100" s="1388"/>
      <c r="AK100" s="1388"/>
      <c r="AL100" s="1388"/>
      <c r="AM100" s="1388"/>
      <c r="AN100" s="1388"/>
      <c r="AO100" s="1388"/>
      <c r="AP100" s="1388"/>
      <c r="AQ100" s="1388"/>
      <c r="AR100" s="1388"/>
      <c r="AS100" s="1388"/>
      <c r="AT100" s="1388"/>
      <c r="AU100" s="1388"/>
      <c r="AV100" s="1388"/>
      <c r="AW100" s="1388"/>
      <c r="AX100" s="1391"/>
      <c r="AY100" s="1388"/>
      <c r="AZ100" s="1591"/>
      <c r="BA100" s="1367"/>
      <c r="BB100" s="1367"/>
    </row>
    <row r="101" spans="1:54" ht="225.5" hidden="1" thickBot="1" x14ac:dyDescent="0.6">
      <c r="A101" s="1367"/>
      <c r="B101" s="1590" t="s">
        <v>867</v>
      </c>
      <c r="C101" s="1414" t="s">
        <v>1123</v>
      </c>
      <c r="D101" s="1391" t="s">
        <v>1124</v>
      </c>
      <c r="E101" s="1415" t="s">
        <v>889</v>
      </c>
      <c r="F101" s="1388" t="s">
        <v>849</v>
      </c>
      <c r="G101" s="1379" t="s">
        <v>850</v>
      </c>
      <c r="H101" s="1377" t="s">
        <v>870</v>
      </c>
      <c r="I101" s="1377" t="s">
        <v>852</v>
      </c>
      <c r="J101" s="1377"/>
      <c r="K101" s="1377"/>
      <c r="L101" s="1377" t="s">
        <v>852</v>
      </c>
      <c r="M101" s="1384" t="s">
        <v>852</v>
      </c>
      <c r="N101" s="1377"/>
      <c r="O101" s="1377"/>
      <c r="P101" s="1377"/>
      <c r="Q101" s="1377"/>
      <c r="R101" s="1388" t="s">
        <v>1125</v>
      </c>
      <c r="S101" s="1381" t="s">
        <v>854</v>
      </c>
      <c r="T101" s="1381" t="s">
        <v>854</v>
      </c>
      <c r="U101" s="1388">
        <v>0</v>
      </c>
      <c r="V101" s="1388"/>
      <c r="W101" s="1388"/>
      <c r="X101" s="1388"/>
      <c r="Y101" s="1388"/>
      <c r="Z101" s="1388"/>
      <c r="AA101" s="1388"/>
      <c r="AB101" s="1390"/>
      <c r="AC101" s="1388"/>
      <c r="AD101" s="1388"/>
      <c r="AE101" s="1388"/>
      <c r="AF101" s="1388"/>
      <c r="AG101" s="1388"/>
      <c r="AH101" s="1388"/>
      <c r="AI101" s="1388"/>
      <c r="AJ101" s="1388"/>
      <c r="AK101" s="1388"/>
      <c r="AL101" s="1388"/>
      <c r="AM101" s="1388"/>
      <c r="AN101" s="1388"/>
      <c r="AO101" s="1388"/>
      <c r="AP101" s="1388"/>
      <c r="AQ101" s="1388"/>
      <c r="AR101" s="1388"/>
      <c r="AS101" s="1388"/>
      <c r="AT101" s="1388"/>
      <c r="AU101" s="1388"/>
      <c r="AV101" s="1388"/>
      <c r="AW101" s="1388"/>
      <c r="AX101" s="1391"/>
      <c r="AY101" s="1388"/>
      <c r="AZ101" s="1591"/>
      <c r="BA101" s="1367"/>
      <c r="BB101" s="1367"/>
    </row>
    <row r="102" spans="1:54" ht="225.5" hidden="1" thickBot="1" x14ac:dyDescent="0.6">
      <c r="A102" s="1367"/>
      <c r="B102" s="1590" t="s">
        <v>867</v>
      </c>
      <c r="C102" s="1414" t="s">
        <v>1126</v>
      </c>
      <c r="D102" s="1391" t="s">
        <v>1127</v>
      </c>
      <c r="E102" s="1415" t="s">
        <v>889</v>
      </c>
      <c r="F102" s="1388" t="s">
        <v>849</v>
      </c>
      <c r="G102" s="1379" t="s">
        <v>850</v>
      </c>
      <c r="H102" s="1377" t="s">
        <v>870</v>
      </c>
      <c r="I102" s="1377" t="s">
        <v>852</v>
      </c>
      <c r="J102" s="1377"/>
      <c r="K102" s="1377"/>
      <c r="L102" s="1377" t="s">
        <v>852</v>
      </c>
      <c r="M102" s="1384" t="s">
        <v>852</v>
      </c>
      <c r="N102" s="1377"/>
      <c r="O102" s="1377"/>
      <c r="P102" s="1377"/>
      <c r="Q102" s="1377"/>
      <c r="R102" s="1388" t="s">
        <v>1125</v>
      </c>
      <c r="S102" s="1381" t="s">
        <v>854</v>
      </c>
      <c r="T102" s="1381" t="s">
        <v>854</v>
      </c>
      <c r="U102" s="1388">
        <v>0</v>
      </c>
      <c r="V102" s="1388"/>
      <c r="W102" s="1388"/>
      <c r="X102" s="1388"/>
      <c r="Y102" s="1388"/>
      <c r="Z102" s="1388"/>
      <c r="AA102" s="1388"/>
      <c r="AB102" s="1390"/>
      <c r="AC102" s="1388"/>
      <c r="AD102" s="1388"/>
      <c r="AE102" s="1388"/>
      <c r="AF102" s="1388"/>
      <c r="AG102" s="1388"/>
      <c r="AH102" s="1388"/>
      <c r="AI102" s="1388"/>
      <c r="AJ102" s="1388"/>
      <c r="AK102" s="1388"/>
      <c r="AL102" s="1388"/>
      <c r="AM102" s="1388"/>
      <c r="AN102" s="1388"/>
      <c r="AO102" s="1388"/>
      <c r="AP102" s="1388"/>
      <c r="AQ102" s="1388"/>
      <c r="AR102" s="1388"/>
      <c r="AS102" s="1388"/>
      <c r="AT102" s="1388"/>
      <c r="AU102" s="1388"/>
      <c r="AV102" s="1388"/>
      <c r="AW102" s="1388"/>
      <c r="AX102" s="1391"/>
      <c r="AY102" s="1388"/>
      <c r="AZ102" s="1591"/>
      <c r="BA102" s="1367"/>
      <c r="BB102" s="1367"/>
    </row>
    <row r="103" spans="1:54" ht="47.5" hidden="1" thickBot="1" x14ac:dyDescent="0.6">
      <c r="A103" s="1367"/>
      <c r="B103" s="1590" t="s">
        <v>867</v>
      </c>
      <c r="C103" s="1414" t="s">
        <v>1128</v>
      </c>
      <c r="D103" s="1391" t="s">
        <v>1129</v>
      </c>
      <c r="E103" s="1415" t="s">
        <v>863</v>
      </c>
      <c r="F103" s="1388" t="s">
        <v>849</v>
      </c>
      <c r="G103" s="1379" t="s">
        <v>850</v>
      </c>
      <c r="H103" s="1377" t="s">
        <v>870</v>
      </c>
      <c r="I103" s="1377" t="s">
        <v>852</v>
      </c>
      <c r="J103" s="1377"/>
      <c r="K103" s="1377"/>
      <c r="L103" s="1377" t="s">
        <v>852</v>
      </c>
      <c r="M103" s="1384" t="s">
        <v>852</v>
      </c>
      <c r="N103" s="1377"/>
      <c r="O103" s="1377"/>
      <c r="P103" s="1377"/>
      <c r="Q103" s="1377"/>
      <c r="R103" s="1388" t="s">
        <v>1130</v>
      </c>
      <c r="S103" s="1381" t="s">
        <v>854</v>
      </c>
      <c r="T103" s="1381" t="s">
        <v>854</v>
      </c>
      <c r="U103" s="1388">
        <v>0</v>
      </c>
      <c r="V103" s="1388"/>
      <c r="W103" s="1388"/>
      <c r="X103" s="1388"/>
      <c r="Y103" s="1388"/>
      <c r="Z103" s="1388"/>
      <c r="AA103" s="1388"/>
      <c r="AB103" s="1390"/>
      <c r="AC103" s="1388"/>
      <c r="AD103" s="1388"/>
      <c r="AE103" s="1388"/>
      <c r="AF103" s="1388"/>
      <c r="AG103" s="1388"/>
      <c r="AH103" s="1388"/>
      <c r="AI103" s="1388"/>
      <c r="AJ103" s="1388"/>
      <c r="AK103" s="1388"/>
      <c r="AL103" s="1388"/>
      <c r="AM103" s="1388"/>
      <c r="AN103" s="1388"/>
      <c r="AO103" s="1388"/>
      <c r="AP103" s="1388"/>
      <c r="AQ103" s="1388"/>
      <c r="AR103" s="1388"/>
      <c r="AS103" s="1388"/>
      <c r="AT103" s="1388"/>
      <c r="AU103" s="1388"/>
      <c r="AV103" s="1388"/>
      <c r="AW103" s="1388"/>
      <c r="AX103" s="1391"/>
      <c r="AY103" s="1388"/>
      <c r="AZ103" s="1591"/>
      <c r="BA103" s="1367"/>
      <c r="BB103" s="1367"/>
    </row>
    <row r="104" spans="1:54" ht="135.5" hidden="1" thickBot="1" x14ac:dyDescent="0.6">
      <c r="A104" s="1367"/>
      <c r="B104" s="1590" t="s">
        <v>867</v>
      </c>
      <c r="C104" s="1414" t="s">
        <v>1131</v>
      </c>
      <c r="D104" s="1391" t="s">
        <v>1132</v>
      </c>
      <c r="E104" s="1415" t="s">
        <v>889</v>
      </c>
      <c r="F104" s="1388" t="s">
        <v>849</v>
      </c>
      <c r="G104" s="1379" t="s">
        <v>850</v>
      </c>
      <c r="H104" s="1377" t="s">
        <v>870</v>
      </c>
      <c r="I104" s="1377" t="s">
        <v>852</v>
      </c>
      <c r="J104" s="1377"/>
      <c r="K104" s="1377"/>
      <c r="L104" s="1377" t="s">
        <v>852</v>
      </c>
      <c r="M104" s="1384" t="s">
        <v>852</v>
      </c>
      <c r="N104" s="1377"/>
      <c r="O104" s="1377"/>
      <c r="P104" s="1377"/>
      <c r="Q104" s="1377"/>
      <c r="R104" s="1388" t="s">
        <v>1133</v>
      </c>
      <c r="S104" s="1381" t="s">
        <v>854</v>
      </c>
      <c r="T104" s="1381" t="s">
        <v>854</v>
      </c>
      <c r="U104" s="1388">
        <v>0</v>
      </c>
      <c r="V104" s="1388"/>
      <c r="W104" s="1388"/>
      <c r="X104" s="1388"/>
      <c r="Y104" s="1388"/>
      <c r="Z104" s="1388"/>
      <c r="AA104" s="1388"/>
      <c r="AB104" s="1390"/>
      <c r="AC104" s="1388"/>
      <c r="AD104" s="1388"/>
      <c r="AE104" s="1388"/>
      <c r="AF104" s="1388"/>
      <c r="AG104" s="1388"/>
      <c r="AH104" s="1388"/>
      <c r="AI104" s="1388"/>
      <c r="AJ104" s="1388"/>
      <c r="AK104" s="1388"/>
      <c r="AL104" s="1388"/>
      <c r="AM104" s="1388"/>
      <c r="AN104" s="1388"/>
      <c r="AO104" s="1388"/>
      <c r="AP104" s="1388"/>
      <c r="AQ104" s="1388"/>
      <c r="AR104" s="1388"/>
      <c r="AS104" s="1388"/>
      <c r="AT104" s="1388"/>
      <c r="AU104" s="1388"/>
      <c r="AV104" s="1388"/>
      <c r="AW104" s="1388"/>
      <c r="AX104" s="1391"/>
      <c r="AY104" s="1388"/>
      <c r="AZ104" s="1591"/>
      <c r="BA104" s="1367"/>
      <c r="BB104" s="1367"/>
    </row>
    <row r="105" spans="1:54" ht="71" hidden="1" thickBot="1" x14ac:dyDescent="0.6">
      <c r="A105" s="1367"/>
      <c r="B105" s="1590" t="s">
        <v>867</v>
      </c>
      <c r="C105" s="1414" t="s">
        <v>1134</v>
      </c>
      <c r="D105" s="1391" t="s">
        <v>1135</v>
      </c>
      <c r="E105" s="1415" t="s">
        <v>944</v>
      </c>
      <c r="F105" s="1388" t="s">
        <v>849</v>
      </c>
      <c r="G105" s="1379" t="s">
        <v>850</v>
      </c>
      <c r="H105" s="1377" t="s">
        <v>870</v>
      </c>
      <c r="I105" s="1377" t="s">
        <v>853</v>
      </c>
      <c r="J105" s="1377"/>
      <c r="K105" s="1377"/>
      <c r="L105" s="1377" t="s">
        <v>852</v>
      </c>
      <c r="M105" s="1384" t="s">
        <v>852</v>
      </c>
      <c r="N105" s="1377"/>
      <c r="O105" s="1377"/>
      <c r="P105" s="1377"/>
      <c r="Q105" s="1377"/>
      <c r="R105" s="1388" t="s">
        <v>1136</v>
      </c>
      <c r="S105" s="1381" t="s">
        <v>854</v>
      </c>
      <c r="T105" s="1381" t="s">
        <v>854</v>
      </c>
      <c r="U105" s="1388">
        <v>0</v>
      </c>
      <c r="V105" s="1388"/>
      <c r="W105" s="1388"/>
      <c r="X105" s="1388"/>
      <c r="Y105" s="1388"/>
      <c r="Z105" s="1388"/>
      <c r="AA105" s="1388"/>
      <c r="AB105" s="1390"/>
      <c r="AC105" s="1388"/>
      <c r="AD105" s="1388"/>
      <c r="AE105" s="1388"/>
      <c r="AF105" s="1388"/>
      <c r="AG105" s="1388"/>
      <c r="AH105" s="1388"/>
      <c r="AI105" s="1388"/>
      <c r="AJ105" s="1388"/>
      <c r="AK105" s="1388"/>
      <c r="AL105" s="1388"/>
      <c r="AM105" s="1388"/>
      <c r="AN105" s="1388"/>
      <c r="AO105" s="1388"/>
      <c r="AP105" s="1388"/>
      <c r="AQ105" s="1388"/>
      <c r="AR105" s="1388"/>
      <c r="AS105" s="1388"/>
      <c r="AT105" s="1388"/>
      <c r="AU105" s="1388"/>
      <c r="AV105" s="1388"/>
      <c r="AW105" s="1388"/>
      <c r="AX105" s="1391"/>
      <c r="AY105" s="1388"/>
      <c r="AZ105" s="1591"/>
      <c r="BA105" s="1367"/>
      <c r="BB105" s="1367"/>
    </row>
    <row r="106" spans="1:54" ht="158" hidden="1" thickBot="1" x14ac:dyDescent="0.6">
      <c r="A106" s="1367"/>
      <c r="B106" s="1590" t="s">
        <v>867</v>
      </c>
      <c r="C106" s="1414" t="s">
        <v>1137</v>
      </c>
      <c r="D106" s="1391" t="s">
        <v>1138</v>
      </c>
      <c r="E106" s="1415" t="s">
        <v>889</v>
      </c>
      <c r="F106" s="1388" t="s">
        <v>849</v>
      </c>
      <c r="G106" s="1379" t="s">
        <v>850</v>
      </c>
      <c r="H106" s="1377" t="s">
        <v>870</v>
      </c>
      <c r="I106" s="1377" t="s">
        <v>852</v>
      </c>
      <c r="J106" s="1377"/>
      <c r="K106" s="1377"/>
      <c r="L106" s="1377" t="s">
        <v>852</v>
      </c>
      <c r="M106" s="1384" t="s">
        <v>852</v>
      </c>
      <c r="N106" s="1377"/>
      <c r="O106" s="1377"/>
      <c r="P106" s="1377"/>
      <c r="Q106" s="1377"/>
      <c r="R106" s="1388" t="s">
        <v>1139</v>
      </c>
      <c r="S106" s="1381" t="s">
        <v>854</v>
      </c>
      <c r="T106" s="1381" t="s">
        <v>854</v>
      </c>
      <c r="U106" s="1388">
        <v>0</v>
      </c>
      <c r="V106" s="1388"/>
      <c r="W106" s="1388"/>
      <c r="X106" s="1388"/>
      <c r="Y106" s="1388"/>
      <c r="Z106" s="1388"/>
      <c r="AA106" s="1388"/>
      <c r="AB106" s="1390"/>
      <c r="AC106" s="1388"/>
      <c r="AD106" s="1388"/>
      <c r="AE106" s="1388"/>
      <c r="AF106" s="1388"/>
      <c r="AG106" s="1388"/>
      <c r="AH106" s="1388"/>
      <c r="AI106" s="1388"/>
      <c r="AJ106" s="1388"/>
      <c r="AK106" s="1388"/>
      <c r="AL106" s="1388"/>
      <c r="AM106" s="1388"/>
      <c r="AN106" s="1388"/>
      <c r="AO106" s="1388"/>
      <c r="AP106" s="1388"/>
      <c r="AQ106" s="1388"/>
      <c r="AR106" s="1388"/>
      <c r="AS106" s="1388"/>
      <c r="AT106" s="1388"/>
      <c r="AU106" s="1388"/>
      <c r="AV106" s="1388"/>
      <c r="AW106" s="1388"/>
      <c r="AX106" s="1391"/>
      <c r="AY106" s="1388"/>
      <c r="AZ106" s="1591"/>
      <c r="BA106" s="1367"/>
      <c r="BB106" s="1367"/>
    </row>
    <row r="107" spans="1:54" ht="203" hidden="1" thickBot="1" x14ac:dyDescent="0.6">
      <c r="A107" s="1367"/>
      <c r="B107" s="1590" t="s">
        <v>867</v>
      </c>
      <c r="C107" s="1414" t="s">
        <v>1140</v>
      </c>
      <c r="D107" s="1391" t="s">
        <v>1141</v>
      </c>
      <c r="E107" s="1415" t="s">
        <v>893</v>
      </c>
      <c r="F107" s="1388" t="s">
        <v>849</v>
      </c>
      <c r="G107" s="1379" t="s">
        <v>850</v>
      </c>
      <c r="H107" s="1377" t="s">
        <v>870</v>
      </c>
      <c r="I107" s="1377" t="s">
        <v>852</v>
      </c>
      <c r="J107" s="1377"/>
      <c r="K107" s="1377"/>
      <c r="L107" s="1377" t="s">
        <v>852</v>
      </c>
      <c r="M107" s="1384" t="s">
        <v>852</v>
      </c>
      <c r="N107" s="1377"/>
      <c r="O107" s="1377"/>
      <c r="P107" s="1377"/>
      <c r="Q107" s="1377"/>
      <c r="R107" s="1388" t="s">
        <v>1142</v>
      </c>
      <c r="S107" s="1381" t="s">
        <v>854</v>
      </c>
      <c r="T107" s="1381" t="s">
        <v>854</v>
      </c>
      <c r="U107" s="1388">
        <v>1.2</v>
      </c>
      <c r="V107" s="1388"/>
      <c r="W107" s="1388"/>
      <c r="X107" s="1388"/>
      <c r="Y107" s="1388"/>
      <c r="Z107" s="1388"/>
      <c r="AA107" s="1388"/>
      <c r="AB107" s="1390"/>
      <c r="AC107" s="1388"/>
      <c r="AD107" s="1388"/>
      <c r="AE107" s="1388"/>
      <c r="AF107" s="1388"/>
      <c r="AG107" s="1388"/>
      <c r="AH107" s="1388"/>
      <c r="AI107" s="1388"/>
      <c r="AJ107" s="1388"/>
      <c r="AK107" s="1388"/>
      <c r="AL107" s="1388"/>
      <c r="AM107" s="1388"/>
      <c r="AN107" s="1388"/>
      <c r="AO107" s="1388"/>
      <c r="AP107" s="1388"/>
      <c r="AQ107" s="1388"/>
      <c r="AR107" s="1388"/>
      <c r="AS107" s="1388"/>
      <c r="AT107" s="1388"/>
      <c r="AU107" s="1388"/>
      <c r="AV107" s="1388"/>
      <c r="AW107" s="1388"/>
      <c r="AX107" s="1391"/>
      <c r="AY107" s="1388"/>
      <c r="AZ107" s="1591"/>
      <c r="BA107" s="1367"/>
      <c r="BB107" s="1367"/>
    </row>
    <row r="108" spans="1:54" ht="203" hidden="1" thickBot="1" x14ac:dyDescent="0.6">
      <c r="A108" s="1367"/>
      <c r="B108" s="1590" t="s">
        <v>867</v>
      </c>
      <c r="C108" s="1414" t="s">
        <v>1143</v>
      </c>
      <c r="D108" s="1391" t="s">
        <v>1144</v>
      </c>
      <c r="E108" s="1415" t="s">
        <v>863</v>
      </c>
      <c r="F108" s="1388" t="s">
        <v>849</v>
      </c>
      <c r="G108" s="1379" t="s">
        <v>850</v>
      </c>
      <c r="H108" s="1377" t="s">
        <v>870</v>
      </c>
      <c r="I108" s="1377" t="s">
        <v>852</v>
      </c>
      <c r="J108" s="1377"/>
      <c r="K108" s="1377"/>
      <c r="L108" s="1377" t="s">
        <v>852</v>
      </c>
      <c r="M108" s="1384" t="s">
        <v>852</v>
      </c>
      <c r="N108" s="1377"/>
      <c r="O108" s="1377"/>
      <c r="P108" s="1377"/>
      <c r="Q108" s="1377"/>
      <c r="R108" s="1388" t="s">
        <v>1145</v>
      </c>
      <c r="S108" s="1381" t="s">
        <v>854</v>
      </c>
      <c r="T108" s="1381" t="s">
        <v>854</v>
      </c>
      <c r="U108" s="1388">
        <v>11.74</v>
      </c>
      <c r="V108" s="1388"/>
      <c r="W108" s="1388"/>
      <c r="X108" s="1388"/>
      <c r="Y108" s="1388"/>
      <c r="Z108" s="1388"/>
      <c r="AA108" s="1388"/>
      <c r="AB108" s="1390"/>
      <c r="AC108" s="1388"/>
      <c r="AD108" s="1388"/>
      <c r="AE108" s="1388"/>
      <c r="AF108" s="1388"/>
      <c r="AG108" s="1388"/>
      <c r="AH108" s="1388"/>
      <c r="AI108" s="1388"/>
      <c r="AJ108" s="1388"/>
      <c r="AK108" s="1388"/>
      <c r="AL108" s="1388"/>
      <c r="AM108" s="1388"/>
      <c r="AN108" s="1388"/>
      <c r="AO108" s="1388"/>
      <c r="AP108" s="1388"/>
      <c r="AQ108" s="1388"/>
      <c r="AR108" s="1388"/>
      <c r="AS108" s="1388"/>
      <c r="AT108" s="1388"/>
      <c r="AU108" s="1388"/>
      <c r="AV108" s="1388"/>
      <c r="AW108" s="1388"/>
      <c r="AX108" s="1391"/>
      <c r="AY108" s="1388"/>
      <c r="AZ108" s="1591"/>
      <c r="BA108" s="1367"/>
      <c r="BB108" s="1367"/>
    </row>
    <row r="109" spans="1:54" ht="90.5" hidden="1" thickBot="1" x14ac:dyDescent="0.6">
      <c r="A109" s="1367"/>
      <c r="B109" s="1590" t="s">
        <v>867</v>
      </c>
      <c r="C109" s="1414" t="s">
        <v>1146</v>
      </c>
      <c r="D109" s="1391" t="s">
        <v>1147</v>
      </c>
      <c r="E109" s="1415" t="s">
        <v>1148</v>
      </c>
      <c r="F109" s="1388" t="s">
        <v>849</v>
      </c>
      <c r="G109" s="1379" t="s">
        <v>850</v>
      </c>
      <c r="H109" s="1377" t="s">
        <v>870</v>
      </c>
      <c r="I109" s="1377" t="s">
        <v>852</v>
      </c>
      <c r="J109" s="1377"/>
      <c r="K109" s="1377"/>
      <c r="L109" s="1377" t="s">
        <v>852</v>
      </c>
      <c r="M109" s="1384" t="s">
        <v>852</v>
      </c>
      <c r="N109" s="1377"/>
      <c r="O109" s="1377"/>
      <c r="P109" s="1377"/>
      <c r="Q109" s="1377"/>
      <c r="R109" s="1388" t="s">
        <v>1149</v>
      </c>
      <c r="S109" s="1381" t="s">
        <v>854</v>
      </c>
      <c r="T109" s="1381" t="s">
        <v>854</v>
      </c>
      <c r="U109" s="1388">
        <v>0</v>
      </c>
      <c r="V109" s="1388"/>
      <c r="W109" s="1388"/>
      <c r="X109" s="1388"/>
      <c r="Y109" s="1388"/>
      <c r="Z109" s="1388"/>
      <c r="AA109" s="1388"/>
      <c r="AB109" s="1390"/>
      <c r="AC109" s="1388"/>
      <c r="AD109" s="1388"/>
      <c r="AE109" s="1388"/>
      <c r="AF109" s="1388"/>
      <c r="AG109" s="1388"/>
      <c r="AH109" s="1388"/>
      <c r="AI109" s="1388"/>
      <c r="AJ109" s="1388"/>
      <c r="AK109" s="1388"/>
      <c r="AL109" s="1388"/>
      <c r="AM109" s="1388"/>
      <c r="AN109" s="1388"/>
      <c r="AO109" s="1388"/>
      <c r="AP109" s="1388"/>
      <c r="AQ109" s="1388"/>
      <c r="AR109" s="1388"/>
      <c r="AS109" s="1388"/>
      <c r="AT109" s="1388"/>
      <c r="AU109" s="1388"/>
      <c r="AV109" s="1388"/>
      <c r="AW109" s="1388"/>
      <c r="AX109" s="1391"/>
      <c r="AY109" s="1388"/>
      <c r="AZ109" s="1591"/>
      <c r="BA109" s="1367"/>
      <c r="BB109" s="1367"/>
    </row>
    <row r="110" spans="1:54" ht="68" hidden="1" thickBot="1" x14ac:dyDescent="0.6">
      <c r="A110" s="1367"/>
      <c r="B110" s="1590" t="s">
        <v>867</v>
      </c>
      <c r="C110" s="1414" t="s">
        <v>1150</v>
      </c>
      <c r="D110" s="1391" t="s">
        <v>1151</v>
      </c>
      <c r="E110" s="1415" t="s">
        <v>893</v>
      </c>
      <c r="F110" s="1388" t="s">
        <v>849</v>
      </c>
      <c r="G110" s="1379" t="s">
        <v>850</v>
      </c>
      <c r="H110" s="1377" t="s">
        <v>870</v>
      </c>
      <c r="I110" s="1377" t="s">
        <v>852</v>
      </c>
      <c r="J110" s="1377"/>
      <c r="K110" s="1377"/>
      <c r="L110" s="1377" t="s">
        <v>852</v>
      </c>
      <c r="M110" s="1384" t="s">
        <v>852</v>
      </c>
      <c r="N110" s="1377"/>
      <c r="O110" s="1377"/>
      <c r="P110" s="1377"/>
      <c r="Q110" s="1377"/>
      <c r="R110" s="1388" t="s">
        <v>1036</v>
      </c>
      <c r="S110" s="1381" t="s">
        <v>854</v>
      </c>
      <c r="T110" s="1381" t="s">
        <v>854</v>
      </c>
      <c r="U110" s="1388">
        <v>0</v>
      </c>
      <c r="V110" s="1388"/>
      <c r="W110" s="1388"/>
      <c r="X110" s="1388"/>
      <c r="Y110" s="1388"/>
      <c r="Z110" s="1388"/>
      <c r="AA110" s="1388"/>
      <c r="AB110" s="1390"/>
      <c r="AC110" s="1388"/>
      <c r="AD110" s="1388"/>
      <c r="AE110" s="1388"/>
      <c r="AF110" s="1388"/>
      <c r="AG110" s="1388"/>
      <c r="AH110" s="1388"/>
      <c r="AI110" s="1388"/>
      <c r="AJ110" s="1388"/>
      <c r="AK110" s="1388"/>
      <c r="AL110" s="1388"/>
      <c r="AM110" s="1388"/>
      <c r="AN110" s="1388"/>
      <c r="AO110" s="1388"/>
      <c r="AP110" s="1388"/>
      <c r="AQ110" s="1388"/>
      <c r="AR110" s="1388"/>
      <c r="AS110" s="1388"/>
      <c r="AT110" s="1388"/>
      <c r="AU110" s="1388"/>
      <c r="AV110" s="1388"/>
      <c r="AW110" s="1388"/>
      <c r="AX110" s="1391"/>
      <c r="AY110" s="1388"/>
      <c r="AZ110" s="1591"/>
      <c r="BA110" s="1367"/>
      <c r="BB110" s="1367"/>
    </row>
    <row r="111" spans="1:54" ht="90.5" hidden="1" thickBot="1" x14ac:dyDescent="0.6">
      <c r="A111" s="1367"/>
      <c r="B111" s="1590" t="s">
        <v>867</v>
      </c>
      <c r="C111" s="1414" t="s">
        <v>1152</v>
      </c>
      <c r="D111" s="1391" t="s">
        <v>1153</v>
      </c>
      <c r="E111" s="1415" t="s">
        <v>978</v>
      </c>
      <c r="F111" s="1388" t="s">
        <v>849</v>
      </c>
      <c r="G111" s="1379" t="s">
        <v>850</v>
      </c>
      <c r="H111" s="1377" t="s">
        <v>870</v>
      </c>
      <c r="I111" s="1377" t="s">
        <v>852</v>
      </c>
      <c r="J111" s="1377"/>
      <c r="K111" s="1377"/>
      <c r="L111" s="1377" t="s">
        <v>852</v>
      </c>
      <c r="M111" s="1384" t="s">
        <v>852</v>
      </c>
      <c r="N111" s="1377"/>
      <c r="O111" s="1377"/>
      <c r="P111" s="1377"/>
      <c r="Q111" s="1377"/>
      <c r="R111" s="1388" t="s">
        <v>1154</v>
      </c>
      <c r="S111" s="1381" t="s">
        <v>854</v>
      </c>
      <c r="T111" s="1381" t="s">
        <v>854</v>
      </c>
      <c r="U111" s="1388">
        <v>0</v>
      </c>
      <c r="V111" s="1388"/>
      <c r="W111" s="1388"/>
      <c r="X111" s="1388"/>
      <c r="Y111" s="1388"/>
      <c r="Z111" s="1388"/>
      <c r="AA111" s="1388"/>
      <c r="AB111" s="1390"/>
      <c r="AC111" s="1388"/>
      <c r="AD111" s="1388"/>
      <c r="AE111" s="1388"/>
      <c r="AF111" s="1388"/>
      <c r="AG111" s="1388"/>
      <c r="AH111" s="1388"/>
      <c r="AI111" s="1388"/>
      <c r="AJ111" s="1388"/>
      <c r="AK111" s="1388"/>
      <c r="AL111" s="1388"/>
      <c r="AM111" s="1388"/>
      <c r="AN111" s="1388"/>
      <c r="AO111" s="1388"/>
      <c r="AP111" s="1388"/>
      <c r="AQ111" s="1388"/>
      <c r="AR111" s="1388"/>
      <c r="AS111" s="1388"/>
      <c r="AT111" s="1388"/>
      <c r="AU111" s="1388"/>
      <c r="AV111" s="1388"/>
      <c r="AW111" s="1388"/>
      <c r="AX111" s="1391"/>
      <c r="AY111" s="1388"/>
      <c r="AZ111" s="1591"/>
      <c r="BA111" s="1367"/>
      <c r="BB111" s="1367"/>
    </row>
    <row r="112" spans="1:54" ht="203" hidden="1" thickBot="1" x14ac:dyDescent="0.6">
      <c r="A112" s="1367"/>
      <c r="B112" s="1592" t="s">
        <v>867</v>
      </c>
      <c r="C112" s="1485" t="s">
        <v>1155</v>
      </c>
      <c r="D112" s="1486" t="s">
        <v>1156</v>
      </c>
      <c r="E112" s="1487" t="s">
        <v>893</v>
      </c>
      <c r="F112" s="1390" t="s">
        <v>849</v>
      </c>
      <c r="G112" s="1498" t="s">
        <v>850</v>
      </c>
      <c r="H112" s="1493" t="s">
        <v>870</v>
      </c>
      <c r="I112" s="1493" t="s">
        <v>852</v>
      </c>
      <c r="J112" s="1493"/>
      <c r="K112" s="1493"/>
      <c r="L112" s="1493" t="s">
        <v>852</v>
      </c>
      <c r="M112" s="1515" t="s">
        <v>852</v>
      </c>
      <c r="N112" s="1493"/>
      <c r="O112" s="1493"/>
      <c r="P112" s="1493"/>
      <c r="Q112" s="1493"/>
      <c r="R112" s="1390" t="s">
        <v>1157</v>
      </c>
      <c r="S112" s="1499" t="s">
        <v>854</v>
      </c>
      <c r="T112" s="1499" t="s">
        <v>854</v>
      </c>
      <c r="U112" s="1390">
        <v>0</v>
      </c>
      <c r="V112" s="1390"/>
      <c r="W112" s="1390"/>
      <c r="X112" s="1390"/>
      <c r="Y112" s="1390"/>
      <c r="Z112" s="1390"/>
      <c r="AA112" s="1390"/>
      <c r="AB112" s="1390"/>
      <c r="AC112" s="1390"/>
      <c r="AD112" s="1390"/>
      <c r="AE112" s="1390"/>
      <c r="AF112" s="1390"/>
      <c r="AG112" s="1390"/>
      <c r="AH112" s="1390"/>
      <c r="AI112" s="1390"/>
      <c r="AJ112" s="1390"/>
      <c r="AK112" s="1390"/>
      <c r="AL112" s="1390"/>
      <c r="AM112" s="1390"/>
      <c r="AN112" s="1390"/>
      <c r="AO112" s="1390"/>
      <c r="AP112" s="1390"/>
      <c r="AQ112" s="1390"/>
      <c r="AR112" s="1390"/>
      <c r="AS112" s="1390"/>
      <c r="AT112" s="1390"/>
      <c r="AU112" s="1390"/>
      <c r="AV112" s="1390"/>
      <c r="AW112" s="1390"/>
      <c r="AX112" s="1486"/>
      <c r="AY112" s="1390"/>
      <c r="AZ112" s="1593"/>
      <c r="BA112" s="1367"/>
      <c r="BB112" s="1367"/>
    </row>
    <row r="113" spans="1:54" ht="135.5" thickBot="1" x14ac:dyDescent="0.4">
      <c r="A113" s="1367"/>
      <c r="B113" s="1546" t="s">
        <v>845</v>
      </c>
      <c r="C113" s="1547" t="s">
        <v>1158</v>
      </c>
      <c r="D113" s="1547" t="s">
        <v>1159</v>
      </c>
      <c r="E113" s="1548" t="s">
        <v>889</v>
      </c>
      <c r="F113" s="1549" t="s">
        <v>849</v>
      </c>
      <c r="G113" s="1550" t="s">
        <v>850</v>
      </c>
      <c r="H113" s="1547" t="s">
        <v>851</v>
      </c>
      <c r="I113" s="1547" t="s">
        <v>852</v>
      </c>
      <c r="J113" s="1547"/>
      <c r="K113" s="1547"/>
      <c r="L113" s="1547" t="s">
        <v>853</v>
      </c>
      <c r="M113" s="1547" t="s">
        <v>853</v>
      </c>
      <c r="N113" s="1547" t="s">
        <v>853</v>
      </c>
      <c r="O113" s="1547" t="s">
        <v>853</v>
      </c>
      <c r="P113" s="1547" t="s">
        <v>853</v>
      </c>
      <c r="Q113" s="1547" t="s">
        <v>853</v>
      </c>
      <c r="R113" s="1547" t="s">
        <v>854</v>
      </c>
      <c r="S113" s="1551" t="s">
        <v>854</v>
      </c>
      <c r="T113" s="1551" t="s">
        <v>854</v>
      </c>
      <c r="U113" s="1547">
        <v>7</v>
      </c>
      <c r="V113" s="1547">
        <v>5</v>
      </c>
      <c r="W113" s="1551" t="s">
        <v>241</v>
      </c>
      <c r="X113" s="1552">
        <v>237.37854431662024</v>
      </c>
      <c r="Y113" s="1663">
        <v>1.192455646684943</v>
      </c>
      <c r="Z113" s="1663">
        <v>1.192455646684943</v>
      </c>
      <c r="AA113" s="1553">
        <v>7</v>
      </c>
      <c r="AB113" s="1553">
        <v>7</v>
      </c>
      <c r="AC113" s="1553">
        <v>2303.1440757246833</v>
      </c>
      <c r="AD113" s="1553">
        <v>2669.0536837631466</v>
      </c>
      <c r="AE113" s="1553">
        <v>2669.0536837631466</v>
      </c>
      <c r="AF113" s="1553">
        <v>1.1610131486637818</v>
      </c>
      <c r="AG113" s="1553">
        <v>448.1</v>
      </c>
      <c r="AH113" s="1553">
        <v>190.15412644791505</v>
      </c>
      <c r="AI113" s="1554">
        <v>-37</v>
      </c>
      <c r="AJ113" s="1555" t="s">
        <v>1160</v>
      </c>
      <c r="AK113" s="1554" t="s">
        <v>854</v>
      </c>
      <c r="AL113" s="1554" t="s">
        <v>854</v>
      </c>
      <c r="AM113" s="1555" t="s">
        <v>1161</v>
      </c>
      <c r="AN113" s="1554" t="s">
        <v>854</v>
      </c>
      <c r="AO113" s="1555" t="s">
        <v>1162</v>
      </c>
      <c r="AP113" s="1554" t="s">
        <v>854</v>
      </c>
      <c r="AQ113" s="1554" t="s">
        <v>854</v>
      </c>
      <c r="AR113" s="1554" t="s">
        <v>854</v>
      </c>
      <c r="AS113" s="1554" t="s">
        <v>854</v>
      </c>
      <c r="AT113" s="1554" t="s">
        <v>854</v>
      </c>
      <c r="AU113" s="1555" t="s">
        <v>1163</v>
      </c>
      <c r="AV113" s="1555" t="s">
        <v>1164</v>
      </c>
      <c r="AW113" s="1554" t="s">
        <v>855</v>
      </c>
      <c r="AX113" s="1554" t="s">
        <v>855</v>
      </c>
      <c r="AY113" s="1556"/>
      <c r="AZ113" s="1557"/>
      <c r="BA113" s="1367"/>
      <c r="BB113" s="1367"/>
    </row>
    <row r="114" spans="1:54" ht="71" hidden="1" thickBot="1" x14ac:dyDescent="0.6">
      <c r="A114" s="1367"/>
      <c r="B114" s="1590" t="s">
        <v>867</v>
      </c>
      <c r="C114" s="1414" t="s">
        <v>1165</v>
      </c>
      <c r="D114" s="1391" t="s">
        <v>1166</v>
      </c>
      <c r="E114" s="1392" t="s">
        <v>944</v>
      </c>
      <c r="F114" s="1388" t="s">
        <v>849</v>
      </c>
      <c r="G114" s="1379" t="s">
        <v>850</v>
      </c>
      <c r="H114" s="1377" t="s">
        <v>870</v>
      </c>
      <c r="I114" s="1377" t="s">
        <v>853</v>
      </c>
      <c r="J114" s="1377"/>
      <c r="K114" s="1377"/>
      <c r="L114" s="1377" t="s">
        <v>852</v>
      </c>
      <c r="M114" s="1517" t="s">
        <v>852</v>
      </c>
      <c r="N114" s="1377"/>
      <c r="O114" s="1377"/>
      <c r="P114" s="1377"/>
      <c r="Q114" s="1377"/>
      <c r="R114" s="1388" t="s">
        <v>1111</v>
      </c>
      <c r="S114" s="1381" t="s">
        <v>996</v>
      </c>
      <c r="T114" s="1381" t="s">
        <v>85</v>
      </c>
      <c r="U114" s="1388">
        <v>0</v>
      </c>
      <c r="V114" s="1388"/>
      <c r="W114" s="1388"/>
      <c r="X114" s="1388"/>
      <c r="Y114" s="1388"/>
      <c r="Z114" s="1388"/>
      <c r="AA114" s="1388"/>
      <c r="AB114" s="1390"/>
      <c r="AC114" s="1388"/>
      <c r="AD114" s="1388"/>
      <c r="AE114" s="1388"/>
      <c r="AF114" s="1388"/>
      <c r="AG114" s="1388"/>
      <c r="AH114" s="1388"/>
      <c r="AI114" s="1388"/>
      <c r="AJ114" s="1388"/>
      <c r="AK114" s="1388"/>
      <c r="AL114" s="1388"/>
      <c r="AM114" s="1388"/>
      <c r="AN114" s="1388"/>
      <c r="AO114" s="1388"/>
      <c r="AP114" s="1388"/>
      <c r="AQ114" s="1388"/>
      <c r="AR114" s="1388"/>
      <c r="AS114" s="1388"/>
      <c r="AT114" s="1388"/>
      <c r="AU114" s="1388"/>
      <c r="AV114" s="1388"/>
      <c r="AW114" s="1388"/>
      <c r="AX114" s="1391"/>
      <c r="AY114" s="1388"/>
      <c r="AZ114" s="1591"/>
      <c r="BA114" s="1367"/>
      <c r="BB114" s="1367"/>
    </row>
    <row r="115" spans="1:54" ht="90.5" hidden="1" thickBot="1" x14ac:dyDescent="0.6">
      <c r="A115" s="1367"/>
      <c r="B115" s="1590" t="s">
        <v>867</v>
      </c>
      <c r="C115" s="1414" t="s">
        <v>1167</v>
      </c>
      <c r="D115" s="1391" t="s">
        <v>1168</v>
      </c>
      <c r="E115" s="1415" t="s">
        <v>863</v>
      </c>
      <c r="F115" s="1388" t="s">
        <v>849</v>
      </c>
      <c r="G115" s="1379" t="s">
        <v>850</v>
      </c>
      <c r="H115" s="1377" t="s">
        <v>870</v>
      </c>
      <c r="I115" s="1377" t="s">
        <v>852</v>
      </c>
      <c r="J115" s="1377"/>
      <c r="K115" s="1377"/>
      <c r="L115" s="1377" t="s">
        <v>852</v>
      </c>
      <c r="M115" s="1384" t="s">
        <v>852</v>
      </c>
      <c r="N115" s="1377"/>
      <c r="O115" s="1377"/>
      <c r="P115" s="1377"/>
      <c r="Q115" s="1377"/>
      <c r="R115" s="1388" t="s">
        <v>936</v>
      </c>
      <c r="S115" s="1381" t="s">
        <v>854</v>
      </c>
      <c r="T115" s="1381" t="s">
        <v>854</v>
      </c>
      <c r="U115" s="1388">
        <v>0</v>
      </c>
      <c r="V115" s="1388"/>
      <c r="W115" s="1388"/>
      <c r="X115" s="1388"/>
      <c r="Y115" s="1388"/>
      <c r="Z115" s="1388"/>
      <c r="AA115" s="1388"/>
      <c r="AB115" s="1390"/>
      <c r="AC115" s="1388"/>
      <c r="AD115" s="1388"/>
      <c r="AE115" s="1388"/>
      <c r="AF115" s="1388"/>
      <c r="AG115" s="1388"/>
      <c r="AH115" s="1388"/>
      <c r="AI115" s="1388"/>
      <c r="AJ115" s="1388"/>
      <c r="AK115" s="1388"/>
      <c r="AL115" s="1388"/>
      <c r="AM115" s="1388"/>
      <c r="AN115" s="1388"/>
      <c r="AO115" s="1388"/>
      <c r="AP115" s="1388"/>
      <c r="AQ115" s="1388"/>
      <c r="AR115" s="1388"/>
      <c r="AS115" s="1388"/>
      <c r="AT115" s="1388"/>
      <c r="AU115" s="1388"/>
      <c r="AV115" s="1388"/>
      <c r="AW115" s="1388"/>
      <c r="AX115" s="1391"/>
      <c r="AY115" s="1388"/>
      <c r="AZ115" s="1591"/>
      <c r="BA115" s="1367"/>
      <c r="BB115" s="1367"/>
    </row>
    <row r="116" spans="1:54" ht="90.5" hidden="1" thickBot="1" x14ac:dyDescent="0.6">
      <c r="A116" s="1367"/>
      <c r="B116" s="1590" t="s">
        <v>867</v>
      </c>
      <c r="C116" s="1414" t="s">
        <v>1169</v>
      </c>
      <c r="D116" s="1391" t="s">
        <v>1170</v>
      </c>
      <c r="E116" s="1415" t="s">
        <v>863</v>
      </c>
      <c r="F116" s="1388" t="s">
        <v>849</v>
      </c>
      <c r="G116" s="1379" t="s">
        <v>850</v>
      </c>
      <c r="H116" s="1377" t="s">
        <v>870</v>
      </c>
      <c r="I116" s="1377" t="s">
        <v>852</v>
      </c>
      <c r="J116" s="1377"/>
      <c r="K116" s="1377"/>
      <c r="L116" s="1377" t="s">
        <v>852</v>
      </c>
      <c r="M116" s="1384" t="s">
        <v>852</v>
      </c>
      <c r="N116" s="1377"/>
      <c r="O116" s="1377"/>
      <c r="P116" s="1377"/>
      <c r="Q116" s="1377"/>
      <c r="R116" s="1388" t="s">
        <v>1171</v>
      </c>
      <c r="S116" s="1381" t="s">
        <v>854</v>
      </c>
      <c r="T116" s="1381" t="s">
        <v>854</v>
      </c>
      <c r="U116" s="1388">
        <v>0</v>
      </c>
      <c r="V116" s="1388"/>
      <c r="W116" s="1388"/>
      <c r="X116" s="1388"/>
      <c r="Y116" s="1388"/>
      <c r="Z116" s="1388"/>
      <c r="AA116" s="1388"/>
      <c r="AB116" s="1390"/>
      <c r="AC116" s="1388"/>
      <c r="AD116" s="1388"/>
      <c r="AE116" s="1388"/>
      <c r="AF116" s="1388"/>
      <c r="AG116" s="1388"/>
      <c r="AH116" s="1388"/>
      <c r="AI116" s="1388"/>
      <c r="AJ116" s="1388"/>
      <c r="AK116" s="1388"/>
      <c r="AL116" s="1388"/>
      <c r="AM116" s="1388"/>
      <c r="AN116" s="1388"/>
      <c r="AO116" s="1388"/>
      <c r="AP116" s="1388"/>
      <c r="AQ116" s="1388"/>
      <c r="AR116" s="1388"/>
      <c r="AS116" s="1388"/>
      <c r="AT116" s="1388"/>
      <c r="AU116" s="1388"/>
      <c r="AV116" s="1388"/>
      <c r="AW116" s="1388"/>
      <c r="AX116" s="1391"/>
      <c r="AY116" s="1388"/>
      <c r="AZ116" s="1591"/>
      <c r="BA116" s="1367"/>
      <c r="BB116" s="1367"/>
    </row>
    <row r="117" spans="1:54" ht="68" hidden="1" thickBot="1" x14ac:dyDescent="0.6">
      <c r="A117" s="1367"/>
      <c r="B117" s="1590" t="s">
        <v>867</v>
      </c>
      <c r="C117" s="1414" t="s">
        <v>1172</v>
      </c>
      <c r="D117" s="1391" t="s">
        <v>1173</v>
      </c>
      <c r="E117" s="1415" t="s">
        <v>1174</v>
      </c>
      <c r="F117" s="1388" t="s">
        <v>849</v>
      </c>
      <c r="G117" s="1379" t="s">
        <v>850</v>
      </c>
      <c r="H117" s="1377" t="s">
        <v>870</v>
      </c>
      <c r="I117" s="1377" t="s">
        <v>853</v>
      </c>
      <c r="J117" s="1377"/>
      <c r="K117" s="1377"/>
      <c r="L117" s="1377" t="s">
        <v>852</v>
      </c>
      <c r="M117" s="1384" t="s">
        <v>852</v>
      </c>
      <c r="N117" s="1377"/>
      <c r="O117" s="1377"/>
      <c r="P117" s="1377"/>
      <c r="Q117" s="1377"/>
      <c r="R117" s="1388" t="s">
        <v>1175</v>
      </c>
      <c r="S117" s="1381" t="s">
        <v>854</v>
      </c>
      <c r="T117" s="1381" t="s">
        <v>854</v>
      </c>
      <c r="U117" s="1388">
        <v>0</v>
      </c>
      <c r="V117" s="1388"/>
      <c r="W117" s="1388"/>
      <c r="X117" s="1388"/>
      <c r="Y117" s="1388"/>
      <c r="Z117" s="1388"/>
      <c r="AA117" s="1388"/>
      <c r="AB117" s="1390"/>
      <c r="AC117" s="1388"/>
      <c r="AD117" s="1388"/>
      <c r="AE117" s="1388"/>
      <c r="AF117" s="1388"/>
      <c r="AG117" s="1388"/>
      <c r="AH117" s="1388"/>
      <c r="AI117" s="1388"/>
      <c r="AJ117" s="1388"/>
      <c r="AK117" s="1388"/>
      <c r="AL117" s="1388"/>
      <c r="AM117" s="1388"/>
      <c r="AN117" s="1388"/>
      <c r="AO117" s="1388"/>
      <c r="AP117" s="1388"/>
      <c r="AQ117" s="1388"/>
      <c r="AR117" s="1388"/>
      <c r="AS117" s="1388"/>
      <c r="AT117" s="1388"/>
      <c r="AU117" s="1388"/>
      <c r="AV117" s="1388"/>
      <c r="AW117" s="1388"/>
      <c r="AX117" s="1391"/>
      <c r="AY117" s="1388"/>
      <c r="AZ117" s="1591"/>
      <c r="BA117" s="1367"/>
      <c r="BB117" s="1367"/>
    </row>
    <row r="118" spans="1:54" ht="68" hidden="1" thickBot="1" x14ac:dyDescent="0.6">
      <c r="A118" s="1367"/>
      <c r="B118" s="1590" t="s">
        <v>867</v>
      </c>
      <c r="C118" s="1414" t="s">
        <v>1176</v>
      </c>
      <c r="D118" s="1391" t="s">
        <v>1177</v>
      </c>
      <c r="E118" s="1415" t="s">
        <v>1174</v>
      </c>
      <c r="F118" s="1388" t="s">
        <v>849</v>
      </c>
      <c r="G118" s="1379" t="s">
        <v>850</v>
      </c>
      <c r="H118" s="1377" t="s">
        <v>870</v>
      </c>
      <c r="I118" s="1377" t="s">
        <v>853</v>
      </c>
      <c r="J118" s="1377"/>
      <c r="K118" s="1377"/>
      <c r="L118" s="1377" t="s">
        <v>852</v>
      </c>
      <c r="M118" s="1384" t="s">
        <v>852</v>
      </c>
      <c r="N118" s="1377"/>
      <c r="O118" s="1377"/>
      <c r="P118" s="1377"/>
      <c r="Q118" s="1377"/>
      <c r="R118" s="1388" t="s">
        <v>1175</v>
      </c>
      <c r="S118" s="1381" t="s">
        <v>854</v>
      </c>
      <c r="T118" s="1381" t="s">
        <v>854</v>
      </c>
      <c r="U118" s="1388">
        <v>0</v>
      </c>
      <c r="V118" s="1388"/>
      <c r="W118" s="1388"/>
      <c r="X118" s="1388"/>
      <c r="Y118" s="1388"/>
      <c r="Z118" s="1388"/>
      <c r="AA118" s="1388"/>
      <c r="AB118" s="1390"/>
      <c r="AC118" s="1388"/>
      <c r="AD118" s="1388"/>
      <c r="AE118" s="1388"/>
      <c r="AF118" s="1388"/>
      <c r="AG118" s="1388"/>
      <c r="AH118" s="1388"/>
      <c r="AI118" s="1388"/>
      <c r="AJ118" s="1388"/>
      <c r="AK118" s="1388"/>
      <c r="AL118" s="1388"/>
      <c r="AM118" s="1388"/>
      <c r="AN118" s="1388"/>
      <c r="AO118" s="1388"/>
      <c r="AP118" s="1388"/>
      <c r="AQ118" s="1388"/>
      <c r="AR118" s="1388"/>
      <c r="AS118" s="1388"/>
      <c r="AT118" s="1388"/>
      <c r="AU118" s="1388"/>
      <c r="AV118" s="1388"/>
      <c r="AW118" s="1388"/>
      <c r="AX118" s="1391"/>
      <c r="AY118" s="1388"/>
      <c r="AZ118" s="1591"/>
      <c r="BA118" s="1367"/>
      <c r="BB118" s="1367"/>
    </row>
    <row r="119" spans="1:54" ht="68" hidden="1" thickBot="1" x14ac:dyDescent="0.6">
      <c r="A119" s="1367"/>
      <c r="B119" s="1590" t="s">
        <v>867</v>
      </c>
      <c r="C119" s="1414" t="s">
        <v>1178</v>
      </c>
      <c r="D119" s="1391" t="s">
        <v>1179</v>
      </c>
      <c r="E119" s="1415" t="s">
        <v>1174</v>
      </c>
      <c r="F119" s="1388" t="s">
        <v>849</v>
      </c>
      <c r="G119" s="1379" t="s">
        <v>850</v>
      </c>
      <c r="H119" s="1377" t="s">
        <v>870</v>
      </c>
      <c r="I119" s="1377" t="s">
        <v>853</v>
      </c>
      <c r="J119" s="1377"/>
      <c r="K119" s="1377"/>
      <c r="L119" s="1377" t="s">
        <v>852</v>
      </c>
      <c r="M119" s="1384" t="s">
        <v>852</v>
      </c>
      <c r="N119" s="1377"/>
      <c r="O119" s="1377"/>
      <c r="P119" s="1377"/>
      <c r="Q119" s="1377"/>
      <c r="R119" s="1388" t="s">
        <v>1175</v>
      </c>
      <c r="S119" s="1381" t="s">
        <v>854</v>
      </c>
      <c r="T119" s="1381" t="s">
        <v>854</v>
      </c>
      <c r="U119" s="1388">
        <v>0</v>
      </c>
      <c r="V119" s="1388"/>
      <c r="W119" s="1388"/>
      <c r="X119" s="1388"/>
      <c r="Y119" s="1388"/>
      <c r="Z119" s="1388"/>
      <c r="AA119" s="1388"/>
      <c r="AB119" s="1390"/>
      <c r="AC119" s="1388"/>
      <c r="AD119" s="1388"/>
      <c r="AE119" s="1388"/>
      <c r="AF119" s="1388"/>
      <c r="AG119" s="1388"/>
      <c r="AH119" s="1388"/>
      <c r="AI119" s="1388"/>
      <c r="AJ119" s="1388"/>
      <c r="AK119" s="1388"/>
      <c r="AL119" s="1388"/>
      <c r="AM119" s="1388"/>
      <c r="AN119" s="1388"/>
      <c r="AO119" s="1388"/>
      <c r="AP119" s="1388"/>
      <c r="AQ119" s="1388"/>
      <c r="AR119" s="1388"/>
      <c r="AS119" s="1388"/>
      <c r="AT119" s="1388"/>
      <c r="AU119" s="1388"/>
      <c r="AV119" s="1388"/>
      <c r="AW119" s="1388"/>
      <c r="AX119" s="1391"/>
      <c r="AY119" s="1388"/>
      <c r="AZ119" s="1591"/>
      <c r="BA119" s="1367"/>
      <c r="BB119" s="1367"/>
    </row>
    <row r="120" spans="1:54" ht="71" hidden="1" thickBot="1" x14ac:dyDescent="0.6">
      <c r="A120" s="1367"/>
      <c r="B120" s="1590" t="s">
        <v>867</v>
      </c>
      <c r="C120" s="1414" t="s">
        <v>1180</v>
      </c>
      <c r="D120" s="1391" t="s">
        <v>1181</v>
      </c>
      <c r="E120" s="1415" t="s">
        <v>944</v>
      </c>
      <c r="F120" s="1388" t="s">
        <v>849</v>
      </c>
      <c r="G120" s="1379" t="s">
        <v>850</v>
      </c>
      <c r="H120" s="1377" t="s">
        <v>870</v>
      </c>
      <c r="I120" s="1377" t="s">
        <v>853</v>
      </c>
      <c r="J120" s="1377"/>
      <c r="K120" s="1377"/>
      <c r="L120" s="1377" t="s">
        <v>852</v>
      </c>
      <c r="M120" s="1384" t="s">
        <v>852</v>
      </c>
      <c r="N120" s="1377"/>
      <c r="O120" s="1377"/>
      <c r="P120" s="1377"/>
      <c r="Q120" s="1377"/>
      <c r="R120" s="1388" t="s">
        <v>1182</v>
      </c>
      <c r="S120" s="1381" t="s">
        <v>996</v>
      </c>
      <c r="T120" s="1381" t="s">
        <v>85</v>
      </c>
      <c r="U120" s="1388">
        <v>0.25</v>
      </c>
      <c r="V120" s="1388"/>
      <c r="W120" s="1388"/>
      <c r="X120" s="1388"/>
      <c r="Y120" s="1388"/>
      <c r="Z120" s="1388"/>
      <c r="AA120" s="1388"/>
      <c r="AB120" s="1390"/>
      <c r="AC120" s="1388"/>
      <c r="AD120" s="1388"/>
      <c r="AE120" s="1388"/>
      <c r="AF120" s="1388"/>
      <c r="AG120" s="1388"/>
      <c r="AH120" s="1388"/>
      <c r="AI120" s="1388"/>
      <c r="AJ120" s="1388"/>
      <c r="AK120" s="1388"/>
      <c r="AL120" s="1388"/>
      <c r="AM120" s="1388"/>
      <c r="AN120" s="1388"/>
      <c r="AO120" s="1388"/>
      <c r="AP120" s="1388"/>
      <c r="AQ120" s="1388"/>
      <c r="AR120" s="1388"/>
      <c r="AS120" s="1388"/>
      <c r="AT120" s="1388"/>
      <c r="AU120" s="1388"/>
      <c r="AV120" s="1388"/>
      <c r="AW120" s="1388"/>
      <c r="AX120" s="1391"/>
      <c r="AY120" s="1388"/>
      <c r="AZ120" s="1591"/>
      <c r="BA120" s="1367"/>
      <c r="BB120" s="1367"/>
    </row>
    <row r="121" spans="1:54" ht="71" hidden="1" thickBot="1" x14ac:dyDescent="0.6">
      <c r="A121" s="1367"/>
      <c r="B121" s="1590" t="s">
        <v>867</v>
      </c>
      <c r="C121" s="1414" t="s">
        <v>1183</v>
      </c>
      <c r="D121" s="1391" t="s">
        <v>1184</v>
      </c>
      <c r="E121" s="1415" t="s">
        <v>944</v>
      </c>
      <c r="F121" s="1388" t="s">
        <v>849</v>
      </c>
      <c r="G121" s="1379" t="s">
        <v>850</v>
      </c>
      <c r="H121" s="1377" t="s">
        <v>870</v>
      </c>
      <c r="I121" s="1377" t="s">
        <v>853</v>
      </c>
      <c r="J121" s="1377"/>
      <c r="K121" s="1377"/>
      <c r="L121" s="1377" t="s">
        <v>852</v>
      </c>
      <c r="M121" s="1384" t="s">
        <v>852</v>
      </c>
      <c r="N121" s="1377"/>
      <c r="O121" s="1377"/>
      <c r="P121" s="1377"/>
      <c r="Q121" s="1377"/>
      <c r="R121" s="1388" t="s">
        <v>1185</v>
      </c>
      <c r="S121" s="1388" t="s">
        <v>1186</v>
      </c>
      <c r="T121" s="1381" t="s">
        <v>85</v>
      </c>
      <c r="U121" s="1388">
        <v>0.6</v>
      </c>
      <c r="V121" s="1388"/>
      <c r="W121" s="1388"/>
      <c r="X121" s="1388"/>
      <c r="Y121" s="1388"/>
      <c r="Z121" s="1388"/>
      <c r="AA121" s="1388"/>
      <c r="AB121" s="1390"/>
      <c r="AC121" s="1388"/>
      <c r="AD121" s="1388"/>
      <c r="AE121" s="1388"/>
      <c r="AF121" s="1388"/>
      <c r="AG121" s="1388"/>
      <c r="AH121" s="1388"/>
      <c r="AI121" s="1388"/>
      <c r="AJ121" s="1388"/>
      <c r="AK121" s="1388"/>
      <c r="AL121" s="1388"/>
      <c r="AM121" s="1388"/>
      <c r="AN121" s="1388"/>
      <c r="AO121" s="1388"/>
      <c r="AP121" s="1388"/>
      <c r="AQ121" s="1388"/>
      <c r="AR121" s="1388"/>
      <c r="AS121" s="1388"/>
      <c r="AT121" s="1388"/>
      <c r="AU121" s="1388"/>
      <c r="AV121" s="1388"/>
      <c r="AW121" s="1388"/>
      <c r="AX121" s="1391"/>
      <c r="AY121" s="1388"/>
      <c r="AZ121" s="1591"/>
      <c r="BA121" s="1367"/>
      <c r="BB121" s="1367"/>
    </row>
    <row r="122" spans="1:54" ht="71" hidden="1" thickBot="1" x14ac:dyDescent="0.6">
      <c r="A122" s="1367"/>
      <c r="B122" s="1590" t="s">
        <v>867</v>
      </c>
      <c r="C122" s="1414" t="s">
        <v>1187</v>
      </c>
      <c r="D122" s="1391" t="s">
        <v>1188</v>
      </c>
      <c r="E122" s="1415" t="s">
        <v>944</v>
      </c>
      <c r="F122" s="1388" t="s">
        <v>849</v>
      </c>
      <c r="G122" s="1379" t="s">
        <v>850</v>
      </c>
      <c r="H122" s="1377" t="s">
        <v>870</v>
      </c>
      <c r="I122" s="1377" t="s">
        <v>853</v>
      </c>
      <c r="J122" s="1377"/>
      <c r="K122" s="1377"/>
      <c r="L122" s="1377" t="s">
        <v>852</v>
      </c>
      <c r="M122" s="1384" t="s">
        <v>852</v>
      </c>
      <c r="N122" s="1377"/>
      <c r="O122" s="1377"/>
      <c r="P122" s="1377"/>
      <c r="Q122" s="1377"/>
      <c r="R122" s="1388" t="s">
        <v>1182</v>
      </c>
      <c r="S122" s="1381" t="s">
        <v>854</v>
      </c>
      <c r="T122" s="1381" t="s">
        <v>854</v>
      </c>
      <c r="U122" s="1388">
        <v>0.3</v>
      </c>
      <c r="V122" s="1388"/>
      <c r="W122" s="1388"/>
      <c r="X122" s="1388"/>
      <c r="Y122" s="1388"/>
      <c r="Z122" s="1388"/>
      <c r="AA122" s="1388"/>
      <c r="AB122" s="1390"/>
      <c r="AC122" s="1388"/>
      <c r="AD122" s="1388"/>
      <c r="AE122" s="1388"/>
      <c r="AF122" s="1388"/>
      <c r="AG122" s="1388"/>
      <c r="AH122" s="1388"/>
      <c r="AI122" s="1388"/>
      <c r="AJ122" s="1388"/>
      <c r="AK122" s="1388"/>
      <c r="AL122" s="1388"/>
      <c r="AM122" s="1388"/>
      <c r="AN122" s="1388"/>
      <c r="AO122" s="1388"/>
      <c r="AP122" s="1388"/>
      <c r="AQ122" s="1388"/>
      <c r="AR122" s="1388"/>
      <c r="AS122" s="1388"/>
      <c r="AT122" s="1388"/>
      <c r="AU122" s="1388"/>
      <c r="AV122" s="1388"/>
      <c r="AW122" s="1388"/>
      <c r="AX122" s="1391"/>
      <c r="AY122" s="1388"/>
      <c r="AZ122" s="1591"/>
      <c r="BA122" s="1367"/>
      <c r="BB122" s="1367"/>
    </row>
    <row r="123" spans="1:54" ht="225.5" hidden="1" thickBot="1" x14ac:dyDescent="0.6">
      <c r="A123" s="1367"/>
      <c r="B123" s="1590" t="s">
        <v>867</v>
      </c>
      <c r="C123" s="1414" t="s">
        <v>1189</v>
      </c>
      <c r="D123" s="1391" t="s">
        <v>1190</v>
      </c>
      <c r="E123" s="1415" t="s">
        <v>978</v>
      </c>
      <c r="F123" s="1388" t="s">
        <v>849</v>
      </c>
      <c r="G123" s="1379" t="s">
        <v>850</v>
      </c>
      <c r="H123" s="1377" t="s">
        <v>870</v>
      </c>
      <c r="I123" s="1377" t="s">
        <v>852</v>
      </c>
      <c r="J123" s="1377"/>
      <c r="K123" s="1377"/>
      <c r="L123" s="1377" t="s">
        <v>852</v>
      </c>
      <c r="M123" s="1384" t="s">
        <v>852</v>
      </c>
      <c r="N123" s="1377"/>
      <c r="O123" s="1377"/>
      <c r="P123" s="1377"/>
      <c r="Q123" s="1377"/>
      <c r="R123" s="1388" t="s">
        <v>1191</v>
      </c>
      <c r="S123" s="1381" t="s">
        <v>854</v>
      </c>
      <c r="T123" s="1381" t="s">
        <v>854</v>
      </c>
      <c r="U123" s="1388">
        <v>0</v>
      </c>
      <c r="V123" s="1388"/>
      <c r="W123" s="1388"/>
      <c r="X123" s="1388"/>
      <c r="Y123" s="1388"/>
      <c r="Z123" s="1388"/>
      <c r="AA123" s="1388"/>
      <c r="AB123" s="1390"/>
      <c r="AC123" s="1388"/>
      <c r="AD123" s="1388"/>
      <c r="AE123" s="1388"/>
      <c r="AF123" s="1388"/>
      <c r="AG123" s="1388"/>
      <c r="AH123" s="1388"/>
      <c r="AI123" s="1388"/>
      <c r="AJ123" s="1388"/>
      <c r="AK123" s="1388"/>
      <c r="AL123" s="1388"/>
      <c r="AM123" s="1388"/>
      <c r="AN123" s="1388"/>
      <c r="AO123" s="1388"/>
      <c r="AP123" s="1388"/>
      <c r="AQ123" s="1388"/>
      <c r="AR123" s="1388"/>
      <c r="AS123" s="1388"/>
      <c r="AT123" s="1388"/>
      <c r="AU123" s="1388"/>
      <c r="AV123" s="1388"/>
      <c r="AW123" s="1388"/>
      <c r="AX123" s="1391"/>
      <c r="AY123" s="1388"/>
      <c r="AZ123" s="1591"/>
      <c r="BA123" s="1367"/>
      <c r="BB123" s="1367"/>
    </row>
    <row r="124" spans="1:54" ht="225.5" hidden="1" thickBot="1" x14ac:dyDescent="0.6">
      <c r="A124" s="1367"/>
      <c r="B124" s="1590" t="s">
        <v>867</v>
      </c>
      <c r="C124" s="1414" t="s">
        <v>1192</v>
      </c>
      <c r="D124" s="1391" t="s">
        <v>1193</v>
      </c>
      <c r="E124" s="1415" t="s">
        <v>978</v>
      </c>
      <c r="F124" s="1388" t="s">
        <v>849</v>
      </c>
      <c r="G124" s="1379" t="s">
        <v>850</v>
      </c>
      <c r="H124" s="1377" t="s">
        <v>870</v>
      </c>
      <c r="I124" s="1377" t="s">
        <v>852</v>
      </c>
      <c r="J124" s="1377"/>
      <c r="K124" s="1377"/>
      <c r="L124" s="1377" t="s">
        <v>852</v>
      </c>
      <c r="M124" s="1384" t="s">
        <v>852</v>
      </c>
      <c r="N124" s="1377"/>
      <c r="O124" s="1377"/>
      <c r="P124" s="1377"/>
      <c r="Q124" s="1377"/>
      <c r="R124" s="1388" t="s">
        <v>1191</v>
      </c>
      <c r="S124" s="1381" t="s">
        <v>854</v>
      </c>
      <c r="T124" s="1381" t="s">
        <v>854</v>
      </c>
      <c r="U124" s="1388">
        <v>0</v>
      </c>
      <c r="V124" s="1388"/>
      <c r="W124" s="1388"/>
      <c r="X124" s="1388"/>
      <c r="Y124" s="1388"/>
      <c r="Z124" s="1388"/>
      <c r="AA124" s="1388"/>
      <c r="AB124" s="1390"/>
      <c r="AC124" s="1388"/>
      <c r="AD124" s="1388"/>
      <c r="AE124" s="1388"/>
      <c r="AF124" s="1388"/>
      <c r="AG124" s="1388"/>
      <c r="AH124" s="1388"/>
      <c r="AI124" s="1388"/>
      <c r="AJ124" s="1388"/>
      <c r="AK124" s="1388"/>
      <c r="AL124" s="1388"/>
      <c r="AM124" s="1388"/>
      <c r="AN124" s="1388"/>
      <c r="AO124" s="1388"/>
      <c r="AP124" s="1388"/>
      <c r="AQ124" s="1388"/>
      <c r="AR124" s="1388"/>
      <c r="AS124" s="1388"/>
      <c r="AT124" s="1388"/>
      <c r="AU124" s="1388"/>
      <c r="AV124" s="1388"/>
      <c r="AW124" s="1388"/>
      <c r="AX124" s="1391"/>
      <c r="AY124" s="1388"/>
      <c r="AZ124" s="1591"/>
      <c r="BA124" s="1367"/>
      <c r="BB124" s="1367"/>
    </row>
    <row r="125" spans="1:54" ht="68" hidden="1" thickBot="1" x14ac:dyDescent="0.4">
      <c r="A125" s="1367"/>
      <c r="B125" s="1590" t="s">
        <v>867</v>
      </c>
      <c r="C125" s="1414" t="s">
        <v>1194</v>
      </c>
      <c r="D125" s="1391" t="s">
        <v>1195</v>
      </c>
      <c r="E125" s="1380" t="s">
        <v>1059</v>
      </c>
      <c r="F125" s="1388" t="s">
        <v>849</v>
      </c>
      <c r="G125" s="1379" t="s">
        <v>850</v>
      </c>
      <c r="H125" s="1377" t="s">
        <v>870</v>
      </c>
      <c r="I125" s="1377" t="s">
        <v>852</v>
      </c>
      <c r="J125" s="1377"/>
      <c r="K125" s="1377"/>
      <c r="L125" s="1377" t="s">
        <v>852</v>
      </c>
      <c r="M125" s="1384" t="s">
        <v>852</v>
      </c>
      <c r="N125" s="1377"/>
      <c r="O125" s="1377"/>
      <c r="P125" s="1377"/>
      <c r="Q125" s="1377"/>
      <c r="R125" s="1388" t="s">
        <v>1185</v>
      </c>
      <c r="S125" s="1381" t="s">
        <v>854</v>
      </c>
      <c r="T125" s="1381" t="s">
        <v>854</v>
      </c>
      <c r="U125" s="1388" t="s">
        <v>1196</v>
      </c>
      <c r="V125" s="1388"/>
      <c r="W125" s="1388"/>
      <c r="X125" s="1388"/>
      <c r="Y125" s="1388"/>
      <c r="Z125" s="1388"/>
      <c r="AA125" s="1388"/>
      <c r="AB125" s="1390"/>
      <c r="AC125" s="1388"/>
      <c r="AD125" s="1388"/>
      <c r="AE125" s="1388"/>
      <c r="AF125" s="1388"/>
      <c r="AG125" s="1388"/>
      <c r="AH125" s="1388"/>
      <c r="AI125" s="1388"/>
      <c r="AJ125" s="1388"/>
      <c r="AK125" s="1388"/>
      <c r="AL125" s="1388"/>
      <c r="AM125" s="1388"/>
      <c r="AN125" s="1388"/>
      <c r="AO125" s="1388"/>
      <c r="AP125" s="1388"/>
      <c r="AQ125" s="1388"/>
      <c r="AR125" s="1388"/>
      <c r="AS125" s="1388"/>
      <c r="AT125" s="1388"/>
      <c r="AU125" s="1388"/>
      <c r="AV125" s="1388"/>
      <c r="AW125" s="1388"/>
      <c r="AX125" s="1391"/>
      <c r="AY125" s="1388"/>
      <c r="AZ125" s="1591"/>
      <c r="BA125" s="1367"/>
      <c r="BB125" s="1367"/>
    </row>
    <row r="126" spans="1:54" ht="409.6" hidden="1" thickBot="1" x14ac:dyDescent="0.4">
      <c r="A126" s="1367"/>
      <c r="B126" s="1592" t="s">
        <v>867</v>
      </c>
      <c r="C126" s="1485" t="s">
        <v>1197</v>
      </c>
      <c r="D126" s="1486" t="s">
        <v>1198</v>
      </c>
      <c r="E126" s="1516" t="s">
        <v>1059</v>
      </c>
      <c r="F126" s="1390" t="s">
        <v>849</v>
      </c>
      <c r="G126" s="1498" t="s">
        <v>850</v>
      </c>
      <c r="H126" s="1493" t="s">
        <v>870</v>
      </c>
      <c r="I126" s="1493" t="s">
        <v>852</v>
      </c>
      <c r="J126" s="1493"/>
      <c r="K126" s="1493"/>
      <c r="L126" s="1493" t="s">
        <v>852</v>
      </c>
      <c r="M126" s="1515" t="s">
        <v>852</v>
      </c>
      <c r="N126" s="1493"/>
      <c r="O126" s="1493"/>
      <c r="P126" s="1493"/>
      <c r="Q126" s="1493"/>
      <c r="R126" s="1390" t="s">
        <v>1199</v>
      </c>
      <c r="S126" s="1499" t="s">
        <v>854</v>
      </c>
      <c r="T126" s="1499" t="s">
        <v>854</v>
      </c>
      <c r="U126" s="1390" t="s">
        <v>1196</v>
      </c>
      <c r="V126" s="1390"/>
      <c r="W126" s="1390"/>
      <c r="X126" s="1390"/>
      <c r="Y126" s="1390"/>
      <c r="Z126" s="1390"/>
      <c r="AA126" s="1390"/>
      <c r="AB126" s="1390"/>
      <c r="AC126" s="1390"/>
      <c r="AD126" s="1390"/>
      <c r="AE126" s="1390"/>
      <c r="AF126" s="1390"/>
      <c r="AG126" s="1390"/>
      <c r="AH126" s="1390"/>
      <c r="AI126" s="1390"/>
      <c r="AJ126" s="1390"/>
      <c r="AK126" s="1390"/>
      <c r="AL126" s="1390"/>
      <c r="AM126" s="1390"/>
      <c r="AN126" s="1390"/>
      <c r="AO126" s="1390"/>
      <c r="AP126" s="1390"/>
      <c r="AQ126" s="1390"/>
      <c r="AR126" s="1390"/>
      <c r="AS126" s="1390"/>
      <c r="AT126" s="1390"/>
      <c r="AU126" s="1390"/>
      <c r="AV126" s="1390"/>
      <c r="AW126" s="1390"/>
      <c r="AX126" s="1486"/>
      <c r="AY126" s="1390"/>
      <c r="AZ126" s="1593"/>
      <c r="BA126" s="1367"/>
      <c r="BB126" s="1367"/>
    </row>
    <row r="127" spans="1:54" ht="135.5" thickBot="1" x14ac:dyDescent="0.4">
      <c r="A127" s="1367"/>
      <c r="B127" s="1546" t="s">
        <v>1063</v>
      </c>
      <c r="C127" s="1554" t="s">
        <v>1200</v>
      </c>
      <c r="D127" s="1547" t="s">
        <v>1201</v>
      </c>
      <c r="E127" s="1548" t="s">
        <v>1059</v>
      </c>
      <c r="F127" s="1549" t="s">
        <v>849</v>
      </c>
      <c r="G127" s="1550" t="s">
        <v>850</v>
      </c>
      <c r="H127" s="1547" t="s">
        <v>1066</v>
      </c>
      <c r="I127" s="1547" t="s">
        <v>852</v>
      </c>
      <c r="J127" s="1547"/>
      <c r="K127" s="1547"/>
      <c r="L127" s="1377" t="s">
        <v>852</v>
      </c>
      <c r="M127" s="1384" t="s">
        <v>852</v>
      </c>
      <c r="N127" s="1377" t="s">
        <v>852</v>
      </c>
      <c r="O127" s="1377" t="s">
        <v>852</v>
      </c>
      <c r="P127" s="1377" t="s">
        <v>852</v>
      </c>
      <c r="Q127" s="1377" t="s">
        <v>852</v>
      </c>
      <c r="R127" s="1547" t="s">
        <v>854</v>
      </c>
      <c r="S127" s="1551" t="s">
        <v>854</v>
      </c>
      <c r="T127" s="1551" t="s">
        <v>854</v>
      </c>
      <c r="U127" s="1547">
        <v>7</v>
      </c>
      <c r="V127" s="1547">
        <v>5</v>
      </c>
      <c r="W127" s="1547" t="s">
        <v>854</v>
      </c>
      <c r="X127" s="1552">
        <v>76.859157747820134</v>
      </c>
      <c r="Y127" s="1663">
        <v>0.82370105656785275</v>
      </c>
      <c r="Z127" s="1663">
        <v>0.82370105656785275</v>
      </c>
      <c r="AA127" s="1553">
        <v>7</v>
      </c>
      <c r="AB127" s="1553">
        <v>7</v>
      </c>
      <c r="AC127" s="1553">
        <v>2609.749265905612</v>
      </c>
      <c r="AD127" s="1553">
        <v>721.48326184383416</v>
      </c>
      <c r="AE127" s="1553">
        <v>721.48326184383416</v>
      </c>
      <c r="AF127" s="1553">
        <v>1.2663880374544558</v>
      </c>
      <c r="AG127" s="1553">
        <v>182.8</v>
      </c>
      <c r="AH127" s="1553">
        <v>93.032741961431412</v>
      </c>
      <c r="AI127" s="1554">
        <v>-35</v>
      </c>
      <c r="AJ127" s="1555" t="s">
        <v>1202</v>
      </c>
      <c r="AK127" s="1554" t="s">
        <v>854</v>
      </c>
      <c r="AL127" s="1554" t="s">
        <v>854</v>
      </c>
      <c r="AM127" s="1555" t="s">
        <v>1203</v>
      </c>
      <c r="AN127" s="1554" t="s">
        <v>854</v>
      </c>
      <c r="AO127" s="1555" t="s">
        <v>1204</v>
      </c>
      <c r="AP127" s="1554" t="s">
        <v>854</v>
      </c>
      <c r="AQ127" s="1554" t="s">
        <v>854</v>
      </c>
      <c r="AR127" s="1554" t="s">
        <v>854</v>
      </c>
      <c r="AS127" s="1554" t="s">
        <v>854</v>
      </c>
      <c r="AT127" s="1554" t="s">
        <v>854</v>
      </c>
      <c r="AU127" s="1555" t="s">
        <v>1205</v>
      </c>
      <c r="AV127" s="1555" t="s">
        <v>1206</v>
      </c>
      <c r="AW127" s="1554" t="s">
        <v>855</v>
      </c>
      <c r="AX127" s="1554" t="s">
        <v>855</v>
      </c>
      <c r="AY127" s="1556"/>
      <c r="AZ127" s="1557"/>
      <c r="BA127" s="1367"/>
      <c r="BB127" s="1367"/>
    </row>
    <row r="128" spans="1:54" ht="90.5" hidden="1" thickBot="1" x14ac:dyDescent="0.4">
      <c r="A128" s="1367"/>
      <c r="B128" s="1592" t="s">
        <v>867</v>
      </c>
      <c r="C128" s="1485" t="s">
        <v>1207</v>
      </c>
      <c r="D128" s="1486" t="s">
        <v>1208</v>
      </c>
      <c r="E128" s="1518" t="s">
        <v>1059</v>
      </c>
      <c r="F128" s="1390" t="s">
        <v>849</v>
      </c>
      <c r="G128" s="1498" t="s">
        <v>850</v>
      </c>
      <c r="H128" s="1493" t="s">
        <v>870</v>
      </c>
      <c r="I128" s="1493" t="s">
        <v>852</v>
      </c>
      <c r="J128" s="1493"/>
      <c r="K128" s="1493"/>
      <c r="L128" s="1493" t="s">
        <v>852</v>
      </c>
      <c r="M128" s="1519" t="s">
        <v>852</v>
      </c>
      <c r="N128" s="1493"/>
      <c r="O128" s="1493"/>
      <c r="P128" s="1493"/>
      <c r="Q128" s="1493"/>
      <c r="R128" s="1390" t="s">
        <v>1209</v>
      </c>
      <c r="S128" s="1499" t="s">
        <v>854</v>
      </c>
      <c r="T128" s="1499" t="s">
        <v>854</v>
      </c>
      <c r="U128" s="1390">
        <v>0</v>
      </c>
      <c r="V128" s="1390"/>
      <c r="W128" s="1390"/>
      <c r="X128" s="1390"/>
      <c r="Y128" s="1390"/>
      <c r="Z128" s="1390"/>
      <c r="AA128" s="1390"/>
      <c r="AB128" s="1390"/>
      <c r="AC128" s="1390"/>
      <c r="AD128" s="1390"/>
      <c r="AE128" s="1390"/>
      <c r="AF128" s="1390"/>
      <c r="AG128" s="1390"/>
      <c r="AH128" s="1390"/>
      <c r="AI128" s="1390"/>
      <c r="AJ128" s="1390"/>
      <c r="AK128" s="1390"/>
      <c r="AL128" s="1390"/>
      <c r="AM128" s="1390"/>
      <c r="AN128" s="1390"/>
      <c r="AO128" s="1390"/>
      <c r="AP128" s="1390"/>
      <c r="AQ128" s="1390"/>
      <c r="AR128" s="1390"/>
      <c r="AS128" s="1390"/>
      <c r="AT128" s="1390"/>
      <c r="AU128" s="1390"/>
      <c r="AV128" s="1390"/>
      <c r="AW128" s="1390"/>
      <c r="AX128" s="1486"/>
      <c r="AY128" s="1390"/>
      <c r="AZ128" s="1593"/>
      <c r="BA128" s="1367"/>
      <c r="BB128" s="1367"/>
    </row>
    <row r="129" spans="1:54" ht="135" x14ac:dyDescent="0.35">
      <c r="A129" s="1367"/>
      <c r="B129" s="1521" t="s">
        <v>1210</v>
      </c>
      <c r="C129" s="1529" t="s">
        <v>1211</v>
      </c>
      <c r="D129" s="1522" t="s">
        <v>1212</v>
      </c>
      <c r="E129" s="1558" t="s">
        <v>1213</v>
      </c>
      <c r="F129" s="1559" t="s">
        <v>1214</v>
      </c>
      <c r="G129" s="1525" t="s">
        <v>850</v>
      </c>
      <c r="H129" s="1522" t="s">
        <v>851</v>
      </c>
      <c r="I129" s="1522" t="s">
        <v>853</v>
      </c>
      <c r="J129" s="1522"/>
      <c r="K129" s="1522"/>
      <c r="L129" s="1522" t="s">
        <v>853</v>
      </c>
      <c r="M129" s="1522" t="s">
        <v>853</v>
      </c>
      <c r="N129" s="1522" t="s">
        <v>853</v>
      </c>
      <c r="O129" s="1522" t="s">
        <v>853</v>
      </c>
      <c r="P129" s="1522" t="s">
        <v>853</v>
      </c>
      <c r="Q129" s="1522" t="s">
        <v>853</v>
      </c>
      <c r="R129" s="1522" t="s">
        <v>854</v>
      </c>
      <c r="S129" s="1526" t="s">
        <v>996</v>
      </c>
      <c r="T129" s="1526" t="s">
        <v>85</v>
      </c>
      <c r="U129" s="1529">
        <v>44</v>
      </c>
      <c r="V129" s="1529">
        <v>11</v>
      </c>
      <c r="W129" s="1660" t="s">
        <v>238</v>
      </c>
      <c r="X129" s="1528">
        <v>44.894453771540448</v>
      </c>
      <c r="Y129" s="1659">
        <v>1.2095493565909314</v>
      </c>
      <c r="Z129" s="1659">
        <v>1.2095493565909314</v>
      </c>
      <c r="AA129" s="1528">
        <v>43.5</v>
      </c>
      <c r="AB129" s="1528">
        <v>43.5</v>
      </c>
      <c r="AC129" s="1528">
        <v>2598.4900147760013</v>
      </c>
      <c r="AD129" s="1528">
        <v>5446.3738376511119</v>
      </c>
      <c r="AE129" s="1528">
        <v>5446.3738376511119</v>
      </c>
      <c r="AF129" s="1528">
        <v>1.9647596056302152</v>
      </c>
      <c r="AG129" s="1528">
        <v>20</v>
      </c>
      <c r="AH129" s="1659">
        <v>63.117431615896116</v>
      </c>
      <c r="AI129" s="1660">
        <v>-31</v>
      </c>
      <c r="AJ129" s="1541" t="s">
        <v>1215</v>
      </c>
      <c r="AK129" s="1529" t="s">
        <v>854</v>
      </c>
      <c r="AL129" s="1529" t="s">
        <v>854</v>
      </c>
      <c r="AM129" s="1541" t="s">
        <v>1216</v>
      </c>
      <c r="AN129" s="1529" t="s">
        <v>854</v>
      </c>
      <c r="AO129" s="1541" t="s">
        <v>1217</v>
      </c>
      <c r="AP129" s="1529" t="s">
        <v>854</v>
      </c>
      <c r="AQ129" s="1529" t="s">
        <v>854</v>
      </c>
      <c r="AR129" s="1529" t="s">
        <v>854</v>
      </c>
      <c r="AS129" s="1529" t="s">
        <v>854</v>
      </c>
      <c r="AT129" s="1529" t="s">
        <v>854</v>
      </c>
      <c r="AU129" s="1541" t="s">
        <v>1218</v>
      </c>
      <c r="AV129" s="1541" t="s">
        <v>1219</v>
      </c>
      <c r="AW129" s="1529" t="s">
        <v>855</v>
      </c>
      <c r="AX129" s="1529" t="s">
        <v>855</v>
      </c>
      <c r="AY129" s="1542"/>
      <c r="AZ129" s="1543"/>
      <c r="BA129" s="1367"/>
      <c r="BB129" s="1367"/>
    </row>
    <row r="130" spans="1:54" ht="157.5" hidden="1" x14ac:dyDescent="0.35">
      <c r="A130" s="1367"/>
      <c r="B130" s="1560" t="s">
        <v>2172</v>
      </c>
      <c r="C130" s="1414" t="s">
        <v>1221</v>
      </c>
      <c r="D130" s="1377" t="s">
        <v>1222</v>
      </c>
      <c r="E130" s="1385" t="s">
        <v>1213</v>
      </c>
      <c r="F130" s="1393" t="s">
        <v>1214</v>
      </c>
      <c r="G130" s="1379" t="s">
        <v>850</v>
      </c>
      <c r="H130" s="1377" t="s">
        <v>870</v>
      </c>
      <c r="I130" s="1377" t="s">
        <v>853</v>
      </c>
      <c r="J130" s="1377"/>
      <c r="K130" s="1377"/>
      <c r="L130" s="1377" t="s">
        <v>852</v>
      </c>
      <c r="M130" s="1384" t="s">
        <v>852</v>
      </c>
      <c r="N130" s="1377" t="s">
        <v>852</v>
      </c>
      <c r="O130" s="1377" t="s">
        <v>852</v>
      </c>
      <c r="P130" s="1377" t="s">
        <v>852</v>
      </c>
      <c r="Q130" s="1377" t="s">
        <v>852</v>
      </c>
      <c r="R130" s="1388" t="s">
        <v>1223</v>
      </c>
      <c r="S130" s="1381" t="s">
        <v>996</v>
      </c>
      <c r="T130" s="1381" t="s">
        <v>85</v>
      </c>
      <c r="U130" s="1384">
        <v>44</v>
      </c>
      <c r="V130" s="1388">
        <v>11</v>
      </c>
      <c r="W130" s="1384" t="s">
        <v>854</v>
      </c>
      <c r="X130" s="1417">
        <v>47.416714560775134</v>
      </c>
      <c r="Y130" s="1417">
        <v>1.1649574261363798</v>
      </c>
      <c r="Z130" s="1417">
        <v>1.1649574261363798</v>
      </c>
      <c r="AA130" s="1418">
        <v>43.5</v>
      </c>
      <c r="AB130" s="1418">
        <v>43.5</v>
      </c>
      <c r="AC130" s="1418">
        <v>2911.1449745114405</v>
      </c>
      <c r="AD130" s="1418">
        <v>5247.3185501836742</v>
      </c>
      <c r="AE130" s="1418">
        <v>5247.3185501836742</v>
      </c>
      <c r="AF130" s="1418">
        <v>2.1377965119292894</v>
      </c>
      <c r="AG130" s="1418">
        <v>20.186373540009168</v>
      </c>
      <c r="AH130" s="1418">
        <v>63.852893149315797</v>
      </c>
      <c r="AI130" s="1384"/>
      <c r="AJ130" s="1382"/>
      <c r="AK130" s="1382"/>
      <c r="AL130" s="1382"/>
      <c r="AM130" s="1382"/>
      <c r="AN130" s="1382"/>
      <c r="AO130" s="1382"/>
      <c r="AP130" s="1382"/>
      <c r="AQ130" s="1382"/>
      <c r="AR130" s="1382"/>
      <c r="AS130" s="1382"/>
      <c r="AT130" s="1382"/>
      <c r="AU130" s="1382"/>
      <c r="AV130" s="1382"/>
      <c r="AW130" s="1382"/>
      <c r="AX130" s="1382"/>
      <c r="AY130" s="1382"/>
      <c r="AZ130" s="1561"/>
      <c r="BA130" s="1367"/>
      <c r="BB130" s="1367"/>
    </row>
    <row r="131" spans="1:54" ht="157.5" hidden="1" x14ac:dyDescent="0.35">
      <c r="A131" s="1367"/>
      <c r="B131" s="1560" t="s">
        <v>2172</v>
      </c>
      <c r="C131" s="1414" t="s">
        <v>1224</v>
      </c>
      <c r="D131" s="1377" t="s">
        <v>1225</v>
      </c>
      <c r="E131" s="1385" t="s">
        <v>1213</v>
      </c>
      <c r="F131" s="1393" t="s">
        <v>1214</v>
      </c>
      <c r="G131" s="1379" t="s">
        <v>850</v>
      </c>
      <c r="H131" s="1377" t="s">
        <v>870</v>
      </c>
      <c r="I131" s="1377" t="s">
        <v>853</v>
      </c>
      <c r="J131" s="1377"/>
      <c r="K131" s="1377"/>
      <c r="L131" s="1377" t="s">
        <v>852</v>
      </c>
      <c r="M131" s="1384" t="s">
        <v>852</v>
      </c>
      <c r="N131" s="1377" t="s">
        <v>852</v>
      </c>
      <c r="O131" s="1377" t="s">
        <v>852</v>
      </c>
      <c r="P131" s="1377" t="s">
        <v>852</v>
      </c>
      <c r="Q131" s="1377" t="s">
        <v>852</v>
      </c>
      <c r="R131" s="1388" t="s">
        <v>1223</v>
      </c>
      <c r="S131" s="1381" t="s">
        <v>996</v>
      </c>
      <c r="T131" s="1381" t="s">
        <v>85</v>
      </c>
      <c r="U131" s="1384">
        <v>44</v>
      </c>
      <c r="V131" s="1388">
        <v>11</v>
      </c>
      <c r="W131" s="1384" t="s">
        <v>854</v>
      </c>
      <c r="X131" s="1417">
        <v>49.492022853113554</v>
      </c>
      <c r="Y131" s="1417">
        <v>1.4028790261363799</v>
      </c>
      <c r="Z131" s="1417">
        <v>1.4028790261363799</v>
      </c>
      <c r="AA131" s="1418">
        <v>43.5</v>
      </c>
      <c r="AB131" s="1418">
        <v>43.5</v>
      </c>
      <c r="AC131" s="1418">
        <v>3026.5350097157425</v>
      </c>
      <c r="AD131" s="1418">
        <v>6320.0053770915956</v>
      </c>
      <c r="AE131" s="1418">
        <v>6320.0053770915956</v>
      </c>
      <c r="AF131" s="1418">
        <v>2.4328682297139883</v>
      </c>
      <c r="AG131" s="1418">
        <v>22.394869654538951</v>
      </c>
      <c r="AH131" s="1418">
        <v>70.83873764200051</v>
      </c>
      <c r="AI131" s="1384"/>
      <c r="AJ131" s="1382"/>
      <c r="AK131" s="1382"/>
      <c r="AL131" s="1382"/>
      <c r="AM131" s="1382"/>
      <c r="AN131" s="1382"/>
      <c r="AO131" s="1382"/>
      <c r="AP131" s="1382"/>
      <c r="AQ131" s="1382"/>
      <c r="AR131" s="1382"/>
      <c r="AS131" s="1382"/>
      <c r="AT131" s="1382"/>
      <c r="AU131" s="1382"/>
      <c r="AV131" s="1382"/>
      <c r="AW131" s="1382"/>
      <c r="AX131" s="1382"/>
      <c r="AY131" s="1382"/>
      <c r="AZ131" s="1561"/>
      <c r="BA131" s="1367"/>
      <c r="BB131" s="1367"/>
    </row>
    <row r="132" spans="1:54" ht="158" hidden="1" thickBot="1" x14ac:dyDescent="0.4">
      <c r="A132" s="1367"/>
      <c r="B132" s="1495" t="s">
        <v>2172</v>
      </c>
      <c r="C132" s="1500" t="s">
        <v>1226</v>
      </c>
      <c r="D132" s="1532" t="s">
        <v>1227</v>
      </c>
      <c r="E132" s="1562" t="s">
        <v>1213</v>
      </c>
      <c r="F132" s="1408" t="s">
        <v>1214</v>
      </c>
      <c r="G132" s="1535" t="s">
        <v>850</v>
      </c>
      <c r="H132" s="1532" t="s">
        <v>870</v>
      </c>
      <c r="I132" s="1532" t="s">
        <v>853</v>
      </c>
      <c r="J132" s="1532"/>
      <c r="K132" s="1532"/>
      <c r="L132" s="1377" t="s">
        <v>852</v>
      </c>
      <c r="M132" s="1384" t="s">
        <v>852</v>
      </c>
      <c r="N132" s="1377" t="s">
        <v>852</v>
      </c>
      <c r="O132" s="1377" t="s">
        <v>852</v>
      </c>
      <c r="P132" s="1377" t="s">
        <v>852</v>
      </c>
      <c r="Q132" s="1377" t="s">
        <v>852</v>
      </c>
      <c r="R132" s="1563" t="s">
        <v>1223</v>
      </c>
      <c r="S132" s="1536" t="s">
        <v>996</v>
      </c>
      <c r="T132" s="1536" t="s">
        <v>85</v>
      </c>
      <c r="U132" s="1539">
        <v>44</v>
      </c>
      <c r="V132" s="1563">
        <v>11</v>
      </c>
      <c r="W132" s="1384" t="s">
        <v>854</v>
      </c>
      <c r="X132" s="1564">
        <v>59.969770459980239</v>
      </c>
      <c r="Y132" s="1564">
        <v>1.3587286261363798</v>
      </c>
      <c r="Z132" s="1564">
        <v>1.3587286261363798</v>
      </c>
      <c r="AA132" s="1565">
        <v>43.5</v>
      </c>
      <c r="AB132" s="1565">
        <v>43.5</v>
      </c>
      <c r="AC132" s="1565">
        <v>3978.2321498391771</v>
      </c>
      <c r="AD132" s="1565">
        <v>6120.9500896241479</v>
      </c>
      <c r="AE132" s="1565">
        <v>6120.9500896241479</v>
      </c>
      <c r="AF132" s="1565">
        <v>2.666053516893883</v>
      </c>
      <c r="AG132" s="1565">
        <v>24.563569831245747</v>
      </c>
      <c r="AH132" s="1565">
        <v>77.698700893037156</v>
      </c>
      <c r="AI132" s="1539"/>
      <c r="AJ132" s="1405"/>
      <c r="AK132" s="1405"/>
      <c r="AL132" s="1405"/>
      <c r="AM132" s="1405"/>
      <c r="AN132" s="1405"/>
      <c r="AO132" s="1405"/>
      <c r="AP132" s="1405"/>
      <c r="AQ132" s="1405"/>
      <c r="AR132" s="1405"/>
      <c r="AS132" s="1405"/>
      <c r="AT132" s="1405"/>
      <c r="AU132" s="1405"/>
      <c r="AV132" s="1405"/>
      <c r="AW132" s="1405"/>
      <c r="AX132" s="1405"/>
      <c r="AY132" s="1405"/>
      <c r="AZ132" s="1545"/>
      <c r="BA132" s="1367"/>
      <c r="BB132" s="1367"/>
    </row>
    <row r="133" spans="1:54" ht="247.5" hidden="1" x14ac:dyDescent="0.55000000000000004">
      <c r="A133" s="1367"/>
      <c r="B133" s="1592" t="s">
        <v>867</v>
      </c>
      <c r="C133" s="1485" t="s">
        <v>1228</v>
      </c>
      <c r="D133" s="1486" t="s">
        <v>1229</v>
      </c>
      <c r="E133" s="1520" t="s">
        <v>956</v>
      </c>
      <c r="F133" s="1390" t="s">
        <v>849</v>
      </c>
      <c r="G133" s="1498" t="s">
        <v>850</v>
      </c>
      <c r="H133" s="1493" t="s">
        <v>870</v>
      </c>
      <c r="I133" s="1493" t="s">
        <v>853</v>
      </c>
      <c r="J133" s="1493"/>
      <c r="K133" s="1493"/>
      <c r="L133" s="1493" t="s">
        <v>852</v>
      </c>
      <c r="M133" s="1519" t="s">
        <v>852</v>
      </c>
      <c r="N133" s="1493"/>
      <c r="O133" s="1493"/>
      <c r="P133" s="1493"/>
      <c r="Q133" s="1493"/>
      <c r="R133" s="1390" t="s">
        <v>1230</v>
      </c>
      <c r="S133" s="1499" t="s">
        <v>854</v>
      </c>
      <c r="T133" s="1499" t="s">
        <v>854</v>
      </c>
      <c r="U133" s="1390">
        <v>50</v>
      </c>
      <c r="V133" s="1390"/>
      <c r="W133" s="1390"/>
      <c r="X133" s="1390"/>
      <c r="Y133" s="1390"/>
      <c r="Z133" s="1390"/>
      <c r="AA133" s="1390"/>
      <c r="AB133" s="1390"/>
      <c r="AC133" s="1390"/>
      <c r="AD133" s="1390"/>
      <c r="AE133" s="1390"/>
      <c r="AF133" s="1390"/>
      <c r="AG133" s="1390"/>
      <c r="AH133" s="1390"/>
      <c r="AI133" s="1390"/>
      <c r="AJ133" s="1390"/>
      <c r="AK133" s="1390"/>
      <c r="AL133" s="1390"/>
      <c r="AM133" s="1390"/>
      <c r="AN133" s="1390"/>
      <c r="AO133" s="1390"/>
      <c r="AP133" s="1390"/>
      <c r="AQ133" s="1390"/>
      <c r="AR133" s="1390"/>
      <c r="AS133" s="1390"/>
      <c r="AT133" s="1390"/>
      <c r="AU133" s="1390"/>
      <c r="AV133" s="1390"/>
      <c r="AW133" s="1390"/>
      <c r="AX133" s="1486"/>
      <c r="AY133" s="1390"/>
      <c r="AZ133" s="1593"/>
      <c r="BA133" s="1367"/>
      <c r="BB133" s="1367"/>
    </row>
    <row r="134" spans="1:54" ht="135" hidden="1" x14ac:dyDescent="0.35">
      <c r="A134" s="1367"/>
      <c r="B134" s="1383" t="s">
        <v>2172</v>
      </c>
      <c r="C134" s="1529" t="s">
        <v>1231</v>
      </c>
      <c r="D134" s="1522" t="s">
        <v>1232</v>
      </c>
      <c r="E134" s="1566" t="s">
        <v>1213</v>
      </c>
      <c r="F134" s="1559" t="s">
        <v>1214</v>
      </c>
      <c r="G134" s="1525" t="s">
        <v>850</v>
      </c>
      <c r="H134" s="1522" t="s">
        <v>870</v>
      </c>
      <c r="I134" s="1522" t="s">
        <v>853</v>
      </c>
      <c r="J134" s="1522"/>
      <c r="K134" s="1522"/>
      <c r="L134" s="1377" t="s">
        <v>852</v>
      </c>
      <c r="M134" s="1384" t="s">
        <v>852</v>
      </c>
      <c r="N134" s="1377" t="s">
        <v>852</v>
      </c>
      <c r="O134" s="1377" t="s">
        <v>852</v>
      </c>
      <c r="P134" s="1377" t="s">
        <v>852</v>
      </c>
      <c r="Q134" s="1377" t="s">
        <v>852</v>
      </c>
      <c r="R134" s="1384" t="s">
        <v>2173</v>
      </c>
      <c r="S134" s="1526" t="s">
        <v>1018</v>
      </c>
      <c r="T134" s="1526" t="s">
        <v>85</v>
      </c>
      <c r="U134" s="1529">
        <v>5</v>
      </c>
      <c r="V134" s="1529">
        <v>5</v>
      </c>
      <c r="W134" s="1529" t="s">
        <v>854</v>
      </c>
      <c r="X134" s="1528">
        <v>0.35838377608569527</v>
      </c>
      <c r="Y134" s="1528">
        <v>1.0567981827273112</v>
      </c>
      <c r="Z134" s="1528">
        <v>1.0567981827273112</v>
      </c>
      <c r="AA134" s="1528">
        <v>5</v>
      </c>
      <c r="AB134" s="1528">
        <v>5</v>
      </c>
      <c r="AC134" s="1528">
        <v>33.075000000000003</v>
      </c>
      <c r="AD134" s="1528">
        <v>0</v>
      </c>
      <c r="AE134" s="1528">
        <v>0</v>
      </c>
      <c r="AF134" s="1528">
        <v>9.7868142013567052E-3</v>
      </c>
      <c r="AG134" s="1528">
        <v>58.626155270844144</v>
      </c>
      <c r="AH134" s="1528">
        <v>25.525190459620891</v>
      </c>
      <c r="AI134" s="1529">
        <v>-12</v>
      </c>
      <c r="AJ134" s="1541" t="s">
        <v>1233</v>
      </c>
      <c r="AK134" s="1529" t="s">
        <v>854</v>
      </c>
      <c r="AL134" s="1529" t="s">
        <v>854</v>
      </c>
      <c r="AM134" s="1541" t="s">
        <v>1234</v>
      </c>
      <c r="AN134" s="1529" t="s">
        <v>854</v>
      </c>
      <c r="AO134" s="1541" t="s">
        <v>858</v>
      </c>
      <c r="AP134" s="1529" t="s">
        <v>854</v>
      </c>
      <c r="AQ134" s="1529" t="s">
        <v>854</v>
      </c>
      <c r="AR134" s="1529" t="s">
        <v>854</v>
      </c>
      <c r="AS134" s="1529" t="s">
        <v>854</v>
      </c>
      <c r="AT134" s="1529" t="s">
        <v>854</v>
      </c>
      <c r="AU134" s="1541" t="s">
        <v>858</v>
      </c>
      <c r="AV134" s="1541" t="s">
        <v>1235</v>
      </c>
      <c r="AW134" s="1529" t="s">
        <v>855</v>
      </c>
      <c r="AX134" s="1529" t="s">
        <v>855</v>
      </c>
      <c r="AY134" s="1542"/>
      <c r="AZ134" s="1543"/>
      <c r="BA134" s="1367"/>
      <c r="BB134" s="1367"/>
    </row>
    <row r="135" spans="1:54" ht="135" hidden="1" x14ac:dyDescent="0.35">
      <c r="A135" s="1367"/>
      <c r="B135" s="1383" t="s">
        <v>2172</v>
      </c>
      <c r="C135" s="1384" t="s">
        <v>1236</v>
      </c>
      <c r="D135" s="1377" t="s">
        <v>1237</v>
      </c>
      <c r="E135" s="1384" t="s">
        <v>1213</v>
      </c>
      <c r="F135" s="1383" t="s">
        <v>1214</v>
      </c>
      <c r="G135" s="1379" t="s">
        <v>850</v>
      </c>
      <c r="H135" s="1377" t="s">
        <v>870</v>
      </c>
      <c r="I135" s="1377" t="s">
        <v>853</v>
      </c>
      <c r="J135" s="1384"/>
      <c r="K135" s="1384"/>
      <c r="L135" s="1377" t="s">
        <v>852</v>
      </c>
      <c r="M135" s="1384" t="s">
        <v>852</v>
      </c>
      <c r="N135" s="1377" t="s">
        <v>852</v>
      </c>
      <c r="O135" s="1377" t="s">
        <v>852</v>
      </c>
      <c r="P135" s="1377" t="s">
        <v>852</v>
      </c>
      <c r="Q135" s="1377" t="s">
        <v>852</v>
      </c>
      <c r="R135" s="1384" t="s">
        <v>2173</v>
      </c>
      <c r="S135" s="1381" t="s">
        <v>1018</v>
      </c>
      <c r="T135" s="1381" t="s">
        <v>85</v>
      </c>
      <c r="U135" s="1384">
        <v>5</v>
      </c>
      <c r="V135" s="1384">
        <v>5</v>
      </c>
      <c r="W135" s="1384" t="s">
        <v>854</v>
      </c>
      <c r="X135" s="1416">
        <v>3.5061914126840903</v>
      </c>
      <c r="Y135" s="1416">
        <v>1.0550320609091037</v>
      </c>
      <c r="Z135" s="1416">
        <v>1.0550320609091037</v>
      </c>
      <c r="AA135" s="1416">
        <v>5</v>
      </c>
      <c r="AB135" s="1416">
        <v>5</v>
      </c>
      <c r="AC135" s="1416">
        <v>289.07499999999999</v>
      </c>
      <c r="AD135" s="1416">
        <v>0</v>
      </c>
      <c r="AE135" s="1416">
        <v>0</v>
      </c>
      <c r="AF135" s="1416">
        <v>8.5536608171041251E-2</v>
      </c>
      <c r="AG135" s="1416">
        <v>64.661728872087508</v>
      </c>
      <c r="AH135" s="1416">
        <v>28.153013570194425</v>
      </c>
      <c r="AI135" s="1384">
        <v>-12</v>
      </c>
      <c r="AJ135" s="1511" t="s">
        <v>1233</v>
      </c>
      <c r="AK135" s="1384" t="s">
        <v>854</v>
      </c>
      <c r="AL135" s="1384" t="s">
        <v>854</v>
      </c>
      <c r="AM135" s="1511" t="s">
        <v>1234</v>
      </c>
      <c r="AN135" s="1384" t="s">
        <v>854</v>
      </c>
      <c r="AO135" s="1511" t="s">
        <v>858</v>
      </c>
      <c r="AP135" s="1384" t="s">
        <v>854</v>
      </c>
      <c r="AQ135" s="1384" t="s">
        <v>854</v>
      </c>
      <c r="AR135" s="1384" t="s">
        <v>854</v>
      </c>
      <c r="AS135" s="1384" t="s">
        <v>854</v>
      </c>
      <c r="AT135" s="1384" t="s">
        <v>854</v>
      </c>
      <c r="AU135" s="1511" t="s">
        <v>858</v>
      </c>
      <c r="AV135" s="1511" t="s">
        <v>1235</v>
      </c>
      <c r="AW135" s="1384" t="s">
        <v>855</v>
      </c>
      <c r="AX135" s="1384" t="s">
        <v>855</v>
      </c>
      <c r="AY135" s="1382"/>
      <c r="AZ135" s="1561"/>
      <c r="BA135" s="1367"/>
      <c r="BB135" s="1367"/>
    </row>
    <row r="136" spans="1:54" ht="135" hidden="1" x14ac:dyDescent="0.35">
      <c r="A136" s="1367"/>
      <c r="B136" s="1383" t="s">
        <v>2172</v>
      </c>
      <c r="C136" s="1384" t="s">
        <v>1238</v>
      </c>
      <c r="D136" s="1377" t="s">
        <v>1239</v>
      </c>
      <c r="E136" s="1386" t="s">
        <v>1213</v>
      </c>
      <c r="F136" s="1383" t="s">
        <v>1214</v>
      </c>
      <c r="G136" s="1379" t="s">
        <v>850</v>
      </c>
      <c r="H136" s="1377" t="s">
        <v>870</v>
      </c>
      <c r="I136" s="1377" t="s">
        <v>853</v>
      </c>
      <c r="J136" s="1384"/>
      <c r="K136" s="1384"/>
      <c r="L136" s="1377" t="s">
        <v>852</v>
      </c>
      <c r="M136" s="1384" t="s">
        <v>852</v>
      </c>
      <c r="N136" s="1377" t="s">
        <v>852</v>
      </c>
      <c r="O136" s="1377" t="s">
        <v>852</v>
      </c>
      <c r="P136" s="1377" t="s">
        <v>852</v>
      </c>
      <c r="Q136" s="1377" t="s">
        <v>852</v>
      </c>
      <c r="R136" s="1384" t="s">
        <v>2173</v>
      </c>
      <c r="S136" s="1381" t="s">
        <v>1018</v>
      </c>
      <c r="T136" s="1381" t="s">
        <v>85</v>
      </c>
      <c r="U136" s="1384">
        <v>10</v>
      </c>
      <c r="V136" s="1384">
        <v>5</v>
      </c>
      <c r="W136" s="1384" t="s">
        <v>854</v>
      </c>
      <c r="X136" s="1416">
        <v>0.43700504716053973</v>
      </c>
      <c r="Y136" s="1416">
        <v>2.1090931827273112</v>
      </c>
      <c r="Z136" s="1416">
        <v>2.1090931827273112</v>
      </c>
      <c r="AA136" s="1416">
        <v>10</v>
      </c>
      <c r="AB136" s="1416">
        <v>10</v>
      </c>
      <c r="AC136" s="1416">
        <v>48</v>
      </c>
      <c r="AD136" s="1416">
        <v>0</v>
      </c>
      <c r="AE136" s="1416">
        <v>0</v>
      </c>
      <c r="AF136" s="1416">
        <v>1.4203086369315856E-2</v>
      </c>
      <c r="AG136" s="1416">
        <v>58.224966558186146</v>
      </c>
      <c r="AH136" s="1416">
        <v>50.701034513920263</v>
      </c>
      <c r="AI136" s="1384">
        <v>-12</v>
      </c>
      <c r="AJ136" s="1511" t="s">
        <v>1233</v>
      </c>
      <c r="AK136" s="1384" t="s">
        <v>854</v>
      </c>
      <c r="AL136" s="1384" t="s">
        <v>854</v>
      </c>
      <c r="AM136" s="1511" t="s">
        <v>1234</v>
      </c>
      <c r="AN136" s="1384" t="s">
        <v>854</v>
      </c>
      <c r="AO136" s="1511" t="s">
        <v>858</v>
      </c>
      <c r="AP136" s="1384" t="s">
        <v>854</v>
      </c>
      <c r="AQ136" s="1384" t="s">
        <v>854</v>
      </c>
      <c r="AR136" s="1384" t="s">
        <v>854</v>
      </c>
      <c r="AS136" s="1384" t="s">
        <v>854</v>
      </c>
      <c r="AT136" s="1384" t="s">
        <v>854</v>
      </c>
      <c r="AU136" s="1511" t="s">
        <v>858</v>
      </c>
      <c r="AV136" s="1511" t="s">
        <v>1235</v>
      </c>
      <c r="AW136" s="1384" t="s">
        <v>855</v>
      </c>
      <c r="AX136" s="1384" t="s">
        <v>855</v>
      </c>
      <c r="AY136" s="1382"/>
      <c r="AZ136" s="1561"/>
      <c r="BA136" s="1367"/>
      <c r="BB136" s="1367"/>
    </row>
    <row r="137" spans="1:54" ht="135" hidden="1" x14ac:dyDescent="0.35">
      <c r="A137" s="1367"/>
      <c r="B137" s="1383" t="s">
        <v>2172</v>
      </c>
      <c r="C137" s="1382" t="s">
        <v>1240</v>
      </c>
      <c r="D137" s="1388" t="s">
        <v>1241</v>
      </c>
      <c r="E137" s="1384" t="s">
        <v>1213</v>
      </c>
      <c r="F137" s="1387" t="s">
        <v>1214</v>
      </c>
      <c r="G137" s="1379" t="s">
        <v>850</v>
      </c>
      <c r="H137" s="1377" t="s">
        <v>870</v>
      </c>
      <c r="I137" s="1377" t="s">
        <v>853</v>
      </c>
      <c r="J137" s="1384"/>
      <c r="K137" s="1384"/>
      <c r="L137" s="1377" t="s">
        <v>852</v>
      </c>
      <c r="M137" s="1384" t="s">
        <v>852</v>
      </c>
      <c r="N137" s="1377" t="s">
        <v>852</v>
      </c>
      <c r="O137" s="1377" t="s">
        <v>852</v>
      </c>
      <c r="P137" s="1377" t="s">
        <v>852</v>
      </c>
      <c r="Q137" s="1377" t="s">
        <v>852</v>
      </c>
      <c r="R137" s="1384" t="s">
        <v>2173</v>
      </c>
      <c r="S137" s="1381" t="s">
        <v>1018</v>
      </c>
      <c r="T137" s="1381" t="s">
        <v>85</v>
      </c>
      <c r="U137" s="1382">
        <v>10</v>
      </c>
      <c r="V137" s="1382">
        <v>5</v>
      </c>
      <c r="W137" s="1382" t="s">
        <v>854</v>
      </c>
      <c r="X137" s="1418">
        <v>6.7326203203573298</v>
      </c>
      <c r="Y137" s="1418">
        <v>2.1073270609091037</v>
      </c>
      <c r="Z137" s="1418">
        <v>2.1073270609091037</v>
      </c>
      <c r="AA137" s="1416">
        <v>10</v>
      </c>
      <c r="AB137" s="1416">
        <v>10</v>
      </c>
      <c r="AC137" s="1418">
        <v>560</v>
      </c>
      <c r="AD137" s="1418">
        <v>0</v>
      </c>
      <c r="AE137" s="1418">
        <v>0</v>
      </c>
      <c r="AF137" s="1416">
        <v>0.16570267430868499</v>
      </c>
      <c r="AG137" s="1418">
        <v>64.308927058558425</v>
      </c>
      <c r="AH137" s="1418">
        <v>55.998814994437069</v>
      </c>
      <c r="AI137" s="1384">
        <v>-12</v>
      </c>
      <c r="AJ137" s="1511" t="s">
        <v>1233</v>
      </c>
      <c r="AK137" s="1384" t="s">
        <v>854</v>
      </c>
      <c r="AL137" s="1384" t="s">
        <v>854</v>
      </c>
      <c r="AM137" s="1511" t="s">
        <v>1234</v>
      </c>
      <c r="AN137" s="1384" t="s">
        <v>854</v>
      </c>
      <c r="AO137" s="1511" t="s">
        <v>858</v>
      </c>
      <c r="AP137" s="1384" t="s">
        <v>854</v>
      </c>
      <c r="AQ137" s="1384" t="s">
        <v>854</v>
      </c>
      <c r="AR137" s="1384" t="s">
        <v>854</v>
      </c>
      <c r="AS137" s="1384" t="s">
        <v>854</v>
      </c>
      <c r="AT137" s="1384" t="s">
        <v>854</v>
      </c>
      <c r="AU137" s="1511" t="s">
        <v>858</v>
      </c>
      <c r="AV137" s="1511" t="s">
        <v>1235</v>
      </c>
      <c r="AW137" s="1382" t="s">
        <v>855</v>
      </c>
      <c r="AX137" s="1382" t="s">
        <v>855</v>
      </c>
      <c r="AY137" s="1382"/>
      <c r="AZ137" s="1561"/>
      <c r="BA137" s="1367"/>
      <c r="BB137" s="1367"/>
    </row>
    <row r="138" spans="1:54" ht="135" hidden="1" x14ac:dyDescent="0.35">
      <c r="A138" s="1367"/>
      <c r="B138" s="1383" t="s">
        <v>2172</v>
      </c>
      <c r="C138" s="1382" t="s">
        <v>1242</v>
      </c>
      <c r="D138" s="1388" t="s">
        <v>1243</v>
      </c>
      <c r="E138" s="1386" t="s">
        <v>1213</v>
      </c>
      <c r="F138" s="1387" t="s">
        <v>1214</v>
      </c>
      <c r="G138" s="1379" t="s">
        <v>850</v>
      </c>
      <c r="H138" s="1377" t="s">
        <v>870</v>
      </c>
      <c r="I138" s="1377" t="s">
        <v>853</v>
      </c>
      <c r="J138" s="1384"/>
      <c r="K138" s="1384"/>
      <c r="L138" s="1377" t="s">
        <v>852</v>
      </c>
      <c r="M138" s="1384" t="s">
        <v>852</v>
      </c>
      <c r="N138" s="1377" t="s">
        <v>852</v>
      </c>
      <c r="O138" s="1377" t="s">
        <v>852</v>
      </c>
      <c r="P138" s="1377" t="s">
        <v>852</v>
      </c>
      <c r="Q138" s="1377" t="s">
        <v>852</v>
      </c>
      <c r="R138" s="1384" t="s">
        <v>2173</v>
      </c>
      <c r="S138" s="1381" t="s">
        <v>1018</v>
      </c>
      <c r="T138" s="1381" t="s">
        <v>85</v>
      </c>
      <c r="U138" s="1382">
        <v>15</v>
      </c>
      <c r="V138" s="1382">
        <v>5</v>
      </c>
      <c r="W138" s="1382" t="s">
        <v>854</v>
      </c>
      <c r="X138" s="1418">
        <v>0.4917258495980526</v>
      </c>
      <c r="Y138" s="1616">
        <v>3.1613881827273111</v>
      </c>
      <c r="Z138" s="1616">
        <v>3.1613881827273111</v>
      </c>
      <c r="AA138" s="1418">
        <v>15</v>
      </c>
      <c r="AB138" s="1418">
        <v>15</v>
      </c>
      <c r="AC138" s="1616">
        <v>48</v>
      </c>
      <c r="AD138" s="1616">
        <v>0</v>
      </c>
      <c r="AE138" s="1418">
        <v>0</v>
      </c>
      <c r="AF138" s="1416">
        <v>1.4203086369315856E-2</v>
      </c>
      <c r="AG138" s="1418">
        <v>58.075716558098257</v>
      </c>
      <c r="AH138" s="1418">
        <v>75.856606289938867</v>
      </c>
      <c r="AI138" s="1384">
        <v>-12</v>
      </c>
      <c r="AJ138" s="1511" t="s">
        <v>1233</v>
      </c>
      <c r="AK138" s="1384" t="s">
        <v>854</v>
      </c>
      <c r="AL138" s="1384" t="s">
        <v>854</v>
      </c>
      <c r="AM138" s="1511" t="s">
        <v>1234</v>
      </c>
      <c r="AN138" s="1384" t="s">
        <v>854</v>
      </c>
      <c r="AO138" s="1511" t="s">
        <v>858</v>
      </c>
      <c r="AP138" s="1384" t="s">
        <v>854</v>
      </c>
      <c r="AQ138" s="1384" t="s">
        <v>854</v>
      </c>
      <c r="AR138" s="1384" t="s">
        <v>854</v>
      </c>
      <c r="AS138" s="1384" t="s">
        <v>854</v>
      </c>
      <c r="AT138" s="1384" t="s">
        <v>854</v>
      </c>
      <c r="AU138" s="1511" t="s">
        <v>858</v>
      </c>
      <c r="AV138" s="1511" t="s">
        <v>1244</v>
      </c>
      <c r="AW138" s="1382" t="s">
        <v>855</v>
      </c>
      <c r="AX138" s="1382" t="s">
        <v>855</v>
      </c>
      <c r="AY138" s="1382"/>
      <c r="AZ138" s="1561"/>
      <c r="BA138" s="1367"/>
      <c r="BB138" s="1367"/>
    </row>
    <row r="139" spans="1:54" ht="135" x14ac:dyDescent="0.45">
      <c r="A139" s="1367"/>
      <c r="B139" s="1567" t="s">
        <v>1210</v>
      </c>
      <c r="C139" s="1611" t="s">
        <v>2174</v>
      </c>
      <c r="D139" s="1391" t="s">
        <v>2176</v>
      </c>
      <c r="E139" s="1386" t="s">
        <v>1213</v>
      </c>
      <c r="F139" s="1387" t="s">
        <v>1214</v>
      </c>
      <c r="G139" s="1379" t="s">
        <v>850</v>
      </c>
      <c r="H139" s="1377" t="s">
        <v>851</v>
      </c>
      <c r="I139" s="1377" t="s">
        <v>853</v>
      </c>
      <c r="J139" s="1377"/>
      <c r="K139" s="1377"/>
      <c r="L139" s="1377" t="s">
        <v>853</v>
      </c>
      <c r="M139" s="1384" t="s">
        <v>853</v>
      </c>
      <c r="N139" s="1377" t="s">
        <v>853</v>
      </c>
      <c r="O139" s="1377" t="s">
        <v>853</v>
      </c>
      <c r="P139" s="1377" t="s">
        <v>853</v>
      </c>
      <c r="Q139" s="1377" t="s">
        <v>853</v>
      </c>
      <c r="R139" s="1377" t="s">
        <v>854</v>
      </c>
      <c r="S139" s="1381" t="s">
        <v>1018</v>
      </c>
      <c r="T139" s="1381" t="s">
        <v>85</v>
      </c>
      <c r="U139" s="1388">
        <v>26</v>
      </c>
      <c r="V139" s="1388">
        <v>7</v>
      </c>
      <c r="W139" s="1612" t="s">
        <v>233</v>
      </c>
      <c r="X139" s="1416">
        <v>10.1420622457221</v>
      </c>
      <c r="Y139" s="1667">
        <v>15.800026565454621</v>
      </c>
      <c r="Z139" s="1667">
        <v>15.800026565454621</v>
      </c>
      <c r="AA139" s="1416">
        <v>26</v>
      </c>
      <c r="AB139" s="1416">
        <v>26</v>
      </c>
      <c r="AC139" s="1416">
        <v>657.83</v>
      </c>
      <c r="AD139" s="1416">
        <v>28.035665306854558</v>
      </c>
      <c r="AE139" s="1416">
        <v>28.035665306854558</v>
      </c>
      <c r="AF139" s="1416">
        <v>0.11143058273699885</v>
      </c>
      <c r="AG139" s="1416">
        <v>170.6</v>
      </c>
      <c r="AH139" s="1416">
        <v>386.2515281434803</v>
      </c>
      <c r="AI139" s="1377">
        <v>-12</v>
      </c>
      <c r="AJ139" s="1693" t="s">
        <v>1233</v>
      </c>
      <c r="AK139" s="1377" t="s">
        <v>854</v>
      </c>
      <c r="AL139" s="1377" t="s">
        <v>854</v>
      </c>
      <c r="AM139" s="1693" t="s">
        <v>1234</v>
      </c>
      <c r="AN139" s="1377" t="s">
        <v>854</v>
      </c>
      <c r="AO139" s="1693" t="s">
        <v>858</v>
      </c>
      <c r="AP139" s="1377" t="s">
        <v>854</v>
      </c>
      <c r="AQ139" s="1377" t="s">
        <v>854</v>
      </c>
      <c r="AR139" s="1377" t="s">
        <v>854</v>
      </c>
      <c r="AS139" s="1377" t="s">
        <v>854</v>
      </c>
      <c r="AT139" s="1377" t="s">
        <v>854</v>
      </c>
      <c r="AU139" s="1693" t="s">
        <v>858</v>
      </c>
      <c r="AV139" s="1693" t="s">
        <v>1235</v>
      </c>
      <c r="AW139" s="1388"/>
      <c r="AX139" s="1391"/>
      <c r="AY139" s="1388"/>
      <c r="AZ139" s="1388"/>
      <c r="BA139" s="1367"/>
      <c r="BB139" s="1367"/>
    </row>
    <row r="140" spans="1:54" ht="135" x14ac:dyDescent="0.45">
      <c r="A140" s="1367"/>
      <c r="B140" s="1567" t="s">
        <v>1220</v>
      </c>
      <c r="C140" s="1611" t="s">
        <v>2175</v>
      </c>
      <c r="D140" s="1391" t="s">
        <v>2177</v>
      </c>
      <c r="E140" s="1386" t="s">
        <v>1213</v>
      </c>
      <c r="F140" s="1387" t="s">
        <v>1214</v>
      </c>
      <c r="G140" s="1379" t="s">
        <v>850</v>
      </c>
      <c r="H140" s="1377" t="s">
        <v>1066</v>
      </c>
      <c r="I140" s="1377" t="s">
        <v>853</v>
      </c>
      <c r="J140" s="1377"/>
      <c r="K140" s="1377"/>
      <c r="L140" s="1377" t="s">
        <v>852</v>
      </c>
      <c r="M140" s="1384" t="s">
        <v>852</v>
      </c>
      <c r="N140" s="1377" t="s">
        <v>852</v>
      </c>
      <c r="O140" s="1377" t="s">
        <v>852</v>
      </c>
      <c r="P140" s="1377" t="s">
        <v>852</v>
      </c>
      <c r="Q140" s="1377" t="s">
        <v>852</v>
      </c>
      <c r="R140" s="1377" t="s">
        <v>2178</v>
      </c>
      <c r="S140" s="1381" t="s">
        <v>1018</v>
      </c>
      <c r="T140" s="1381" t="s">
        <v>85</v>
      </c>
      <c r="U140" s="1388">
        <v>26</v>
      </c>
      <c r="V140" s="1388">
        <v>7</v>
      </c>
      <c r="W140" s="1388" t="s">
        <v>854</v>
      </c>
      <c r="X140" s="1615">
        <v>21.399402516690099</v>
      </c>
      <c r="Y140" s="1666">
        <v>18.493894366818417</v>
      </c>
      <c r="Z140" s="1666">
        <v>18.493894366818417</v>
      </c>
      <c r="AA140" s="1615">
        <v>26</v>
      </c>
      <c r="AB140" s="1615">
        <v>26</v>
      </c>
      <c r="AC140" s="1615">
        <v>844.24</v>
      </c>
      <c r="AD140" s="1615">
        <v>4006.5408709551243</v>
      </c>
      <c r="AE140" s="1615">
        <v>4006.5408709551243</v>
      </c>
      <c r="AF140" s="1615">
        <v>1.0590057028037299</v>
      </c>
      <c r="AG140" s="1416">
        <v>205.6</v>
      </c>
      <c r="AH140" s="1416">
        <v>465.57629400998491</v>
      </c>
      <c r="AI140" s="1377">
        <v>-12</v>
      </c>
      <c r="AJ140" s="1693" t="s">
        <v>1233</v>
      </c>
      <c r="AK140" s="1377" t="s">
        <v>854</v>
      </c>
      <c r="AL140" s="1377" t="s">
        <v>854</v>
      </c>
      <c r="AM140" s="1693" t="s">
        <v>1234</v>
      </c>
      <c r="AN140" s="1377" t="s">
        <v>854</v>
      </c>
      <c r="AO140" s="1693" t="s">
        <v>858</v>
      </c>
      <c r="AP140" s="1377" t="s">
        <v>854</v>
      </c>
      <c r="AQ140" s="1377" t="s">
        <v>854</v>
      </c>
      <c r="AR140" s="1377" t="s">
        <v>854</v>
      </c>
      <c r="AS140" s="1377" t="s">
        <v>854</v>
      </c>
      <c r="AT140" s="1377" t="s">
        <v>854</v>
      </c>
      <c r="AU140" s="1693" t="s">
        <v>858</v>
      </c>
      <c r="AV140" s="1693" t="s">
        <v>1235</v>
      </c>
      <c r="AW140" s="1388"/>
      <c r="AX140" s="1391"/>
      <c r="AY140" s="1388"/>
      <c r="AZ140" s="1388"/>
      <c r="BA140" s="1367"/>
      <c r="BB140" s="1367"/>
    </row>
    <row r="141" spans="1:54" ht="135" hidden="1" x14ac:dyDescent="0.55000000000000004">
      <c r="A141" s="1367"/>
      <c r="B141" s="1567" t="s">
        <v>1210</v>
      </c>
      <c r="C141" s="1414" t="s">
        <v>1245</v>
      </c>
      <c r="D141" s="1388" t="s">
        <v>1246</v>
      </c>
      <c r="E141" s="1389" t="s">
        <v>1213</v>
      </c>
      <c r="F141" s="1387" t="s">
        <v>1214</v>
      </c>
      <c r="G141" s="1379" t="s">
        <v>850</v>
      </c>
      <c r="H141" s="1377" t="s">
        <v>870</v>
      </c>
      <c r="I141" s="1377" t="s">
        <v>853</v>
      </c>
      <c r="J141" s="1384"/>
      <c r="K141" s="1384"/>
      <c r="L141" s="1384" t="s">
        <v>852</v>
      </c>
      <c r="M141" s="1384" t="s">
        <v>852</v>
      </c>
      <c r="N141" s="1384" t="s">
        <v>852</v>
      </c>
      <c r="O141" s="1384" t="s">
        <v>852</v>
      </c>
      <c r="P141" s="1384" t="s">
        <v>852</v>
      </c>
      <c r="Q141" s="1384" t="s">
        <v>852</v>
      </c>
      <c r="R141" s="1377" t="s">
        <v>2173</v>
      </c>
      <c r="S141" s="1381" t="s">
        <v>1018</v>
      </c>
      <c r="T141" s="1381" t="s">
        <v>85</v>
      </c>
      <c r="U141" s="1382">
        <v>15</v>
      </c>
      <c r="V141" s="1382">
        <v>5</v>
      </c>
      <c r="W141" s="1382" t="s">
        <v>854</v>
      </c>
      <c r="X141" s="1418">
        <v>9.9351487593932397</v>
      </c>
      <c r="Y141" s="1418">
        <v>3.1596220609091037</v>
      </c>
      <c r="Z141" s="1418">
        <v>3.1596220609091037</v>
      </c>
      <c r="AA141" s="1418">
        <v>15</v>
      </c>
      <c r="AB141" s="1418">
        <v>15</v>
      </c>
      <c r="AC141" s="1418">
        <v>816</v>
      </c>
      <c r="AD141" s="1418">
        <v>0</v>
      </c>
      <c r="AE141" s="1418">
        <v>0</v>
      </c>
      <c r="AF141" s="1416">
        <v>0.24145246827836953</v>
      </c>
      <c r="AG141" s="1418">
        <v>64.175806024846963</v>
      </c>
      <c r="AH141" s="1418">
        <v>83.824344140399091</v>
      </c>
      <c r="AI141" s="1384">
        <v>-12</v>
      </c>
      <c r="AJ141" s="1511" t="s">
        <v>1233</v>
      </c>
      <c r="AK141" s="1384" t="s">
        <v>854</v>
      </c>
      <c r="AL141" s="1384" t="s">
        <v>854</v>
      </c>
      <c r="AM141" s="1511" t="s">
        <v>1234</v>
      </c>
      <c r="AN141" s="1384" t="s">
        <v>854</v>
      </c>
      <c r="AO141" s="1511" t="s">
        <v>858</v>
      </c>
      <c r="AP141" s="1384" t="s">
        <v>854</v>
      </c>
      <c r="AQ141" s="1384" t="s">
        <v>854</v>
      </c>
      <c r="AR141" s="1384" t="s">
        <v>854</v>
      </c>
      <c r="AS141" s="1384" t="s">
        <v>854</v>
      </c>
      <c r="AT141" s="1384" t="s">
        <v>854</v>
      </c>
      <c r="AU141" s="1511" t="s">
        <v>858</v>
      </c>
      <c r="AV141" s="1511" t="s">
        <v>1244</v>
      </c>
      <c r="AW141" s="1382"/>
      <c r="AX141" s="1382"/>
      <c r="AY141" s="1382"/>
      <c r="AZ141" s="1561"/>
      <c r="BA141" s="1367"/>
      <c r="BB141" s="1367"/>
    </row>
    <row r="142" spans="1:54" ht="47" x14ac:dyDescent="0.55000000000000004">
      <c r="A142" s="1367"/>
      <c r="B142" s="1567" t="s">
        <v>1247</v>
      </c>
      <c r="C142" s="1384" t="s">
        <v>2171</v>
      </c>
      <c r="D142" s="1482" t="s">
        <v>1415</v>
      </c>
      <c r="E142" s="1389" t="s">
        <v>1831</v>
      </c>
      <c r="F142" s="1387" t="s">
        <v>1088</v>
      </c>
      <c r="G142" s="1489" t="s">
        <v>850</v>
      </c>
      <c r="H142" s="1384" t="s">
        <v>851</v>
      </c>
      <c r="I142" s="1384" t="s">
        <v>852</v>
      </c>
      <c r="J142" s="1605"/>
      <c r="K142" s="1605"/>
      <c r="L142" s="1384" t="s">
        <v>853</v>
      </c>
      <c r="M142" s="1384" t="s">
        <v>853</v>
      </c>
      <c r="N142" s="1384" t="s">
        <v>853</v>
      </c>
      <c r="O142" s="1384" t="s">
        <v>853</v>
      </c>
      <c r="P142" s="1384" t="s">
        <v>853</v>
      </c>
      <c r="Q142" s="1384" t="s">
        <v>853</v>
      </c>
      <c r="R142" s="1382" t="s">
        <v>852</v>
      </c>
      <c r="S142" s="1388" t="s">
        <v>854</v>
      </c>
      <c r="T142" s="1388" t="s">
        <v>854</v>
      </c>
      <c r="U142" s="1606">
        <v>3</v>
      </c>
      <c r="V142" s="1606">
        <v>0</v>
      </c>
      <c r="W142" s="1388" t="s">
        <v>854</v>
      </c>
      <c r="X142" s="1607">
        <v>0</v>
      </c>
      <c r="Y142" s="1607">
        <v>0</v>
      </c>
      <c r="Z142" s="1607">
        <v>0</v>
      </c>
      <c r="AA142" s="1607">
        <v>3</v>
      </c>
      <c r="AB142" s="1610">
        <v>3</v>
      </c>
      <c r="AC142" s="1607">
        <v>0</v>
      </c>
      <c r="AD142" s="1607">
        <v>-350.15</v>
      </c>
      <c r="AE142" s="1607">
        <v>-350.15</v>
      </c>
      <c r="AF142" s="1417" t="s">
        <v>205</v>
      </c>
      <c r="AG142" s="1607">
        <v>0</v>
      </c>
      <c r="AH142" s="1607">
        <v>0</v>
      </c>
      <c r="AI142" s="1382" t="s">
        <v>205</v>
      </c>
      <c r="AJ142" s="1382" t="s">
        <v>205</v>
      </c>
      <c r="AK142" s="1382" t="s">
        <v>205</v>
      </c>
      <c r="AL142" s="1382" t="s">
        <v>205</v>
      </c>
      <c r="AM142" s="1382" t="s">
        <v>205</v>
      </c>
      <c r="AN142" s="1382" t="s">
        <v>205</v>
      </c>
      <c r="AO142" s="1382" t="s">
        <v>205</v>
      </c>
      <c r="AP142" s="1382" t="s">
        <v>205</v>
      </c>
      <c r="AQ142" s="1382" t="s">
        <v>205</v>
      </c>
      <c r="AR142" s="1382" t="s">
        <v>205</v>
      </c>
      <c r="AS142" s="1382" t="s">
        <v>205</v>
      </c>
      <c r="AT142" s="1382" t="s">
        <v>205</v>
      </c>
      <c r="AU142" s="1382" t="s">
        <v>205</v>
      </c>
      <c r="AV142" s="1382" t="s">
        <v>205</v>
      </c>
      <c r="AW142" s="1382"/>
      <c r="AX142" s="1382"/>
      <c r="AY142" s="1382"/>
      <c r="AZ142" s="1382"/>
      <c r="BA142" s="1367"/>
      <c r="BB142" s="1367"/>
    </row>
    <row r="143" spans="1:54" ht="47" x14ac:dyDescent="0.55000000000000004">
      <c r="A143" s="1367"/>
      <c r="B143" s="1567" t="s">
        <v>1247</v>
      </c>
      <c r="C143" s="1382" t="s">
        <v>2110</v>
      </c>
      <c r="D143" s="1609" t="s">
        <v>2111</v>
      </c>
      <c r="E143" s="1392" t="s">
        <v>1831</v>
      </c>
      <c r="F143" s="1393" t="s">
        <v>1088</v>
      </c>
      <c r="G143" s="1472" t="s">
        <v>850</v>
      </c>
      <c r="H143" s="1517" t="s">
        <v>851</v>
      </c>
      <c r="I143" s="1377" t="s">
        <v>852</v>
      </c>
      <c r="J143" s="1377"/>
      <c r="K143" s="1377"/>
      <c r="L143" s="1377" t="s">
        <v>853</v>
      </c>
      <c r="M143" s="1377" t="s">
        <v>853</v>
      </c>
      <c r="N143" s="1377" t="s">
        <v>853</v>
      </c>
      <c r="O143" s="1377" t="s">
        <v>853</v>
      </c>
      <c r="P143" s="1377" t="s">
        <v>853</v>
      </c>
      <c r="Q143" s="1377" t="s">
        <v>853</v>
      </c>
      <c r="R143" s="1388" t="s">
        <v>854</v>
      </c>
      <c r="S143" s="1388" t="s">
        <v>854</v>
      </c>
      <c r="T143" s="1388" t="s">
        <v>854</v>
      </c>
      <c r="U143" s="1417">
        <v>5</v>
      </c>
      <c r="V143" s="1417">
        <v>0</v>
      </c>
      <c r="W143" s="1417" t="s">
        <v>227</v>
      </c>
      <c r="X143" s="1417">
        <v>0</v>
      </c>
      <c r="Y143" s="1417">
        <v>0</v>
      </c>
      <c r="Z143" s="1417">
        <v>0</v>
      </c>
      <c r="AA143" s="1417">
        <v>5</v>
      </c>
      <c r="AB143" s="1417">
        <v>5</v>
      </c>
      <c r="AC143" s="1418">
        <v>0</v>
      </c>
      <c r="AD143" s="1418">
        <v>-583.58000000000004</v>
      </c>
      <c r="AE143" s="1418">
        <v>-583.58000000000004</v>
      </c>
      <c r="AF143" s="1418" t="s">
        <v>205</v>
      </c>
      <c r="AG143" s="1418">
        <v>0</v>
      </c>
      <c r="AH143" s="1418">
        <v>0</v>
      </c>
      <c r="AI143" s="1382" t="s">
        <v>205</v>
      </c>
      <c r="AJ143" s="1382" t="s">
        <v>205</v>
      </c>
      <c r="AK143" s="1382" t="s">
        <v>205</v>
      </c>
      <c r="AL143" s="1382" t="s">
        <v>205</v>
      </c>
      <c r="AM143" s="1382" t="s">
        <v>205</v>
      </c>
      <c r="AN143" s="1382" t="s">
        <v>205</v>
      </c>
      <c r="AO143" s="1382" t="s">
        <v>205</v>
      </c>
      <c r="AP143" s="1382" t="s">
        <v>205</v>
      </c>
      <c r="AQ143" s="1382" t="s">
        <v>205</v>
      </c>
      <c r="AR143" s="1382" t="s">
        <v>205</v>
      </c>
      <c r="AS143" s="1382" t="s">
        <v>205</v>
      </c>
      <c r="AT143" s="1382" t="s">
        <v>205</v>
      </c>
      <c r="AU143" s="1382" t="s">
        <v>205</v>
      </c>
      <c r="AV143" s="1382" t="s">
        <v>205</v>
      </c>
      <c r="AW143" s="1382"/>
      <c r="AX143" s="1382"/>
      <c r="AY143" s="1382"/>
      <c r="AZ143" s="1382"/>
      <c r="BA143" s="1367"/>
      <c r="BB143" s="1367"/>
    </row>
    <row r="144" spans="1:54" ht="90" x14ac:dyDescent="0.55000000000000004">
      <c r="A144" s="1367"/>
      <c r="B144" s="1567" t="s">
        <v>2116</v>
      </c>
      <c r="C144" s="1382" t="s">
        <v>2112</v>
      </c>
      <c r="D144" s="1484" t="s">
        <v>2113</v>
      </c>
      <c r="E144" s="1415" t="s">
        <v>1831</v>
      </c>
      <c r="F144" s="1393" t="s">
        <v>1088</v>
      </c>
      <c r="G144" s="1472" t="s">
        <v>850</v>
      </c>
      <c r="H144" s="1384" t="s">
        <v>1066</v>
      </c>
      <c r="I144" s="1377" t="s">
        <v>852</v>
      </c>
      <c r="J144" s="1377"/>
      <c r="K144" s="1377"/>
      <c r="L144" s="1377" t="s">
        <v>852</v>
      </c>
      <c r="M144" s="1377" t="s">
        <v>852</v>
      </c>
      <c r="N144" s="1377" t="s">
        <v>852</v>
      </c>
      <c r="O144" s="1377" t="s">
        <v>852</v>
      </c>
      <c r="P144" s="1377" t="s">
        <v>852</v>
      </c>
      <c r="Q144" s="1377" t="s">
        <v>852</v>
      </c>
      <c r="R144" s="1388" t="s">
        <v>2161</v>
      </c>
      <c r="S144" s="1388" t="s">
        <v>854</v>
      </c>
      <c r="T144" s="1388" t="s">
        <v>854</v>
      </c>
      <c r="U144" s="1417">
        <v>2</v>
      </c>
      <c r="V144" s="1417">
        <v>0</v>
      </c>
      <c r="W144" s="1417" t="s">
        <v>854</v>
      </c>
      <c r="X144" s="1417">
        <v>0</v>
      </c>
      <c r="Y144" s="1417">
        <v>0</v>
      </c>
      <c r="Z144" s="1417">
        <v>0</v>
      </c>
      <c r="AA144" s="1417">
        <v>2</v>
      </c>
      <c r="AB144" s="1417">
        <v>2</v>
      </c>
      <c r="AC144" s="1418">
        <v>0</v>
      </c>
      <c r="AD144" s="1418">
        <v>-233.43</v>
      </c>
      <c r="AE144" s="1418">
        <v>-233.43</v>
      </c>
      <c r="AF144" s="1418" t="s">
        <v>205</v>
      </c>
      <c r="AG144" s="1418">
        <v>0</v>
      </c>
      <c r="AH144" s="1418">
        <v>0</v>
      </c>
      <c r="AI144" s="1382" t="s">
        <v>205</v>
      </c>
      <c r="AJ144" s="1382" t="s">
        <v>205</v>
      </c>
      <c r="AK144" s="1382" t="s">
        <v>205</v>
      </c>
      <c r="AL144" s="1382" t="s">
        <v>205</v>
      </c>
      <c r="AM144" s="1382" t="s">
        <v>205</v>
      </c>
      <c r="AN144" s="1382" t="s">
        <v>205</v>
      </c>
      <c r="AO144" s="1382" t="s">
        <v>205</v>
      </c>
      <c r="AP144" s="1382" t="s">
        <v>205</v>
      </c>
      <c r="AQ144" s="1382" t="s">
        <v>205</v>
      </c>
      <c r="AR144" s="1382" t="s">
        <v>205</v>
      </c>
      <c r="AS144" s="1382" t="s">
        <v>205</v>
      </c>
      <c r="AT144" s="1382" t="s">
        <v>205</v>
      </c>
      <c r="AU144" s="1382" t="s">
        <v>205</v>
      </c>
      <c r="AV144" s="1382" t="s">
        <v>205</v>
      </c>
      <c r="AW144" s="1382"/>
      <c r="AX144" s="1382"/>
      <c r="AY144" s="1382"/>
      <c r="AZ144" s="1382"/>
      <c r="BA144" s="1367"/>
      <c r="BB144" s="1367"/>
    </row>
    <row r="145" spans="1:54" ht="90" x14ac:dyDescent="0.55000000000000004">
      <c r="A145" s="1367"/>
      <c r="B145" s="1567" t="s">
        <v>1247</v>
      </c>
      <c r="C145" s="1414" t="s">
        <v>2152</v>
      </c>
      <c r="D145" s="1388" t="s">
        <v>2129</v>
      </c>
      <c r="E145" s="1389" t="s">
        <v>1250</v>
      </c>
      <c r="F145" s="1387" t="s">
        <v>1088</v>
      </c>
      <c r="G145" s="1472" t="s">
        <v>850</v>
      </c>
      <c r="H145" s="1384" t="s">
        <v>851</v>
      </c>
      <c r="I145" s="1377" t="s">
        <v>852</v>
      </c>
      <c r="J145" s="1377"/>
      <c r="K145" s="1377"/>
      <c r="L145" s="1377" t="s">
        <v>853</v>
      </c>
      <c r="M145" s="1377" t="s">
        <v>853</v>
      </c>
      <c r="N145" s="1377" t="s">
        <v>853</v>
      </c>
      <c r="O145" s="1377" t="s">
        <v>853</v>
      </c>
      <c r="P145" s="1377" t="s">
        <v>853</v>
      </c>
      <c r="Q145" s="1377" t="s">
        <v>853</v>
      </c>
      <c r="R145" s="1388" t="s">
        <v>854</v>
      </c>
      <c r="S145" s="1388" t="s">
        <v>854</v>
      </c>
      <c r="T145" s="1388" t="s">
        <v>854</v>
      </c>
      <c r="U145" s="1417">
        <v>3.24</v>
      </c>
      <c r="V145" s="1417">
        <v>0</v>
      </c>
      <c r="W145" s="1417" t="s">
        <v>227</v>
      </c>
      <c r="X145" s="1417">
        <v>0</v>
      </c>
      <c r="Y145" s="1417">
        <v>0.30199999999999999</v>
      </c>
      <c r="Z145" s="1417">
        <v>0.30199999999999999</v>
      </c>
      <c r="AA145" s="1417">
        <v>3.24</v>
      </c>
      <c r="AB145" s="1417">
        <v>3.24</v>
      </c>
      <c r="AC145" s="1418">
        <v>0</v>
      </c>
      <c r="AD145" s="1418">
        <v>-378.16</v>
      </c>
      <c r="AE145" s="1418">
        <v>-378.16</v>
      </c>
      <c r="AF145" s="1418" t="s">
        <v>205</v>
      </c>
      <c r="AG145" s="1418">
        <v>4.7E-2</v>
      </c>
      <c r="AH145" s="1418">
        <v>1.51</v>
      </c>
      <c r="AI145" s="1382" t="s">
        <v>205</v>
      </c>
      <c r="AJ145" s="1382" t="s">
        <v>205</v>
      </c>
      <c r="AK145" s="1382" t="s">
        <v>205</v>
      </c>
      <c r="AL145" s="1382" t="s">
        <v>205</v>
      </c>
      <c r="AM145" s="1382" t="s">
        <v>205</v>
      </c>
      <c r="AN145" s="1382" t="s">
        <v>205</v>
      </c>
      <c r="AO145" s="1382" t="s">
        <v>205</v>
      </c>
      <c r="AP145" s="1382" t="s">
        <v>205</v>
      </c>
      <c r="AQ145" s="1382" t="s">
        <v>205</v>
      </c>
      <c r="AR145" s="1382" t="s">
        <v>205</v>
      </c>
      <c r="AS145" s="1382" t="s">
        <v>205</v>
      </c>
      <c r="AT145" s="1382" t="s">
        <v>205</v>
      </c>
      <c r="AU145" s="1382" t="s">
        <v>205</v>
      </c>
      <c r="AV145" s="1382" t="s">
        <v>205</v>
      </c>
      <c r="AW145" s="1382"/>
      <c r="AX145" s="1382"/>
      <c r="AY145" s="1382"/>
      <c r="AZ145" s="1382"/>
      <c r="BA145" s="1367"/>
      <c r="BB145" s="1367"/>
    </row>
    <row r="146" spans="1:54" ht="90" x14ac:dyDescent="0.55000000000000004">
      <c r="B146" s="1567" t="s">
        <v>2116</v>
      </c>
      <c r="C146" s="1479" t="s">
        <v>1248</v>
      </c>
      <c r="D146" s="1388" t="s">
        <v>1249</v>
      </c>
      <c r="E146" s="1389" t="s">
        <v>1250</v>
      </c>
      <c r="F146" s="1387" t="s">
        <v>1088</v>
      </c>
      <c r="G146" s="1379" t="s">
        <v>850</v>
      </c>
      <c r="H146" s="1377" t="s">
        <v>1066</v>
      </c>
      <c r="I146" s="1384" t="s">
        <v>852</v>
      </c>
      <c r="J146" s="1384"/>
      <c r="K146" s="1384"/>
      <c r="L146" s="1377" t="s">
        <v>852</v>
      </c>
      <c r="M146" s="1377" t="s">
        <v>852</v>
      </c>
      <c r="N146" s="1377" t="s">
        <v>852</v>
      </c>
      <c r="O146" s="1377" t="s">
        <v>852</v>
      </c>
      <c r="P146" s="1377" t="s">
        <v>852</v>
      </c>
      <c r="Q146" s="1377" t="s">
        <v>852</v>
      </c>
      <c r="R146" s="1377" t="s">
        <v>2160</v>
      </c>
      <c r="S146" s="1381" t="s">
        <v>854</v>
      </c>
      <c r="T146" s="1381" t="s">
        <v>854</v>
      </c>
      <c r="U146" s="1418">
        <v>3.24</v>
      </c>
      <c r="V146" s="1418">
        <v>0</v>
      </c>
      <c r="W146" s="1418" t="s">
        <v>854</v>
      </c>
      <c r="X146" s="1418">
        <v>0</v>
      </c>
      <c r="Y146" s="1418">
        <v>0.151</v>
      </c>
      <c r="Z146" s="1418">
        <v>0.151</v>
      </c>
      <c r="AA146" s="1418">
        <v>3.24</v>
      </c>
      <c r="AB146" s="1418">
        <v>3.24</v>
      </c>
      <c r="AC146" s="1418">
        <v>0</v>
      </c>
      <c r="AD146" s="1418">
        <v>-378.16</v>
      </c>
      <c r="AE146" s="1418">
        <v>-378.16</v>
      </c>
      <c r="AF146" s="1418" t="s">
        <v>205</v>
      </c>
      <c r="AG146" s="1418">
        <v>0.05</v>
      </c>
      <c r="AH146" s="1418">
        <v>1.51</v>
      </c>
      <c r="AI146" s="1382" t="s">
        <v>205</v>
      </c>
      <c r="AJ146" s="1382" t="s">
        <v>205</v>
      </c>
      <c r="AK146" s="1382" t="s">
        <v>205</v>
      </c>
      <c r="AL146" s="1382" t="s">
        <v>205</v>
      </c>
      <c r="AM146" s="1382" t="s">
        <v>205</v>
      </c>
      <c r="AN146" s="1382" t="s">
        <v>205</v>
      </c>
      <c r="AO146" s="1382" t="s">
        <v>205</v>
      </c>
      <c r="AP146" s="1382" t="s">
        <v>205</v>
      </c>
      <c r="AQ146" s="1382" t="s">
        <v>205</v>
      </c>
      <c r="AR146" s="1382" t="s">
        <v>205</v>
      </c>
      <c r="AS146" s="1382" t="s">
        <v>205</v>
      </c>
      <c r="AT146" s="1382" t="s">
        <v>205</v>
      </c>
      <c r="AU146" s="1382" t="s">
        <v>205</v>
      </c>
      <c r="AV146" s="1382" t="s">
        <v>205</v>
      </c>
      <c r="AW146" s="1382"/>
      <c r="AX146" s="1382"/>
      <c r="AY146" s="1382"/>
      <c r="AZ146" s="1382"/>
    </row>
    <row r="147" spans="1:54" ht="90" x14ac:dyDescent="0.35">
      <c r="B147" s="1567" t="s">
        <v>2116</v>
      </c>
      <c r="C147" s="1384" t="s">
        <v>2114</v>
      </c>
      <c r="D147" s="1482" t="s">
        <v>2115</v>
      </c>
      <c r="E147" s="1488" t="s">
        <v>1802</v>
      </c>
      <c r="F147" s="1387" t="s">
        <v>1088</v>
      </c>
      <c r="G147" s="1379" t="s">
        <v>850</v>
      </c>
      <c r="H147" s="1377" t="s">
        <v>1066</v>
      </c>
      <c r="I147" s="1377" t="s">
        <v>852</v>
      </c>
      <c r="J147" s="1377"/>
      <c r="K147" s="1377"/>
      <c r="L147" s="1377" t="s">
        <v>852</v>
      </c>
      <c r="M147" s="1377" t="s">
        <v>852</v>
      </c>
      <c r="N147" s="1377" t="s">
        <v>852</v>
      </c>
      <c r="O147" s="1377" t="s">
        <v>852</v>
      </c>
      <c r="P147" s="1377" t="s">
        <v>852</v>
      </c>
      <c r="Q147" s="1377" t="s">
        <v>852</v>
      </c>
      <c r="R147" s="1388" t="s">
        <v>2162</v>
      </c>
      <c r="S147" s="1388" t="s">
        <v>854</v>
      </c>
      <c r="T147" s="1388" t="s">
        <v>854</v>
      </c>
      <c r="U147" s="1417">
        <v>0.26</v>
      </c>
      <c r="V147" s="1417">
        <v>0</v>
      </c>
      <c r="W147" s="1417" t="s">
        <v>854</v>
      </c>
      <c r="X147" s="1417">
        <v>0</v>
      </c>
      <c r="Y147" s="1417">
        <v>6.0000000000000001E-3</v>
      </c>
      <c r="Z147" s="1417">
        <v>6.0000000000000001E-3</v>
      </c>
      <c r="AA147" s="1417">
        <v>0.26</v>
      </c>
      <c r="AB147" s="1417">
        <v>0.26</v>
      </c>
      <c r="AC147" s="1418">
        <v>0</v>
      </c>
      <c r="AD147" s="1418">
        <v>-30.346</v>
      </c>
      <c r="AE147" s="1418">
        <v>-30.346</v>
      </c>
      <c r="AF147" s="1418" t="s">
        <v>205</v>
      </c>
      <c r="AG147" s="1418">
        <v>1.2E-2</v>
      </c>
      <c r="AH147" s="1418">
        <v>0.03</v>
      </c>
      <c r="AI147" s="1382" t="s">
        <v>205</v>
      </c>
      <c r="AJ147" s="1382" t="s">
        <v>205</v>
      </c>
      <c r="AK147" s="1382" t="s">
        <v>205</v>
      </c>
      <c r="AL147" s="1382" t="s">
        <v>205</v>
      </c>
      <c r="AM147" s="1382" t="s">
        <v>205</v>
      </c>
      <c r="AN147" s="1382" t="s">
        <v>205</v>
      </c>
      <c r="AO147" s="1382" t="s">
        <v>205</v>
      </c>
      <c r="AP147" s="1382" t="s">
        <v>205</v>
      </c>
      <c r="AQ147" s="1382" t="s">
        <v>205</v>
      </c>
      <c r="AR147" s="1382" t="s">
        <v>205</v>
      </c>
      <c r="AS147" s="1382" t="s">
        <v>205</v>
      </c>
      <c r="AT147" s="1382" t="s">
        <v>205</v>
      </c>
      <c r="AU147" s="1382" t="s">
        <v>205</v>
      </c>
      <c r="AV147" s="1382" t="s">
        <v>205</v>
      </c>
      <c r="AW147" s="1382"/>
      <c r="AX147" s="1382"/>
      <c r="AY147" s="1382"/>
      <c r="AZ147" s="1382"/>
    </row>
    <row r="148" spans="1:54" ht="112.5" x14ac:dyDescent="0.55000000000000004">
      <c r="B148" s="1567" t="s">
        <v>1247</v>
      </c>
      <c r="C148" s="1382" t="s">
        <v>1251</v>
      </c>
      <c r="D148" s="1388" t="s">
        <v>1252</v>
      </c>
      <c r="E148" s="1389" t="s">
        <v>1250</v>
      </c>
      <c r="F148" s="1387" t="s">
        <v>1088</v>
      </c>
      <c r="G148" s="1379" t="s">
        <v>850</v>
      </c>
      <c r="H148" s="1377" t="s">
        <v>851</v>
      </c>
      <c r="I148" s="1384" t="s">
        <v>852</v>
      </c>
      <c r="J148" s="1384"/>
      <c r="K148" s="1384"/>
      <c r="L148" s="1377" t="s">
        <v>853</v>
      </c>
      <c r="M148" s="1377" t="s">
        <v>853</v>
      </c>
      <c r="N148" s="1377" t="s">
        <v>853</v>
      </c>
      <c r="O148" s="1377" t="s">
        <v>853</v>
      </c>
      <c r="P148" s="1377" t="s">
        <v>853</v>
      </c>
      <c r="Q148" s="1377" t="s">
        <v>853</v>
      </c>
      <c r="R148" s="1377" t="s">
        <v>854</v>
      </c>
      <c r="S148" s="1381" t="s">
        <v>854</v>
      </c>
      <c r="T148" s="1381" t="s">
        <v>854</v>
      </c>
      <c r="U148" s="1418">
        <v>1.72</v>
      </c>
      <c r="V148" s="1418">
        <v>0</v>
      </c>
      <c r="W148" s="1417" t="s">
        <v>227</v>
      </c>
      <c r="X148" s="1418">
        <v>0</v>
      </c>
      <c r="Y148" s="1418">
        <v>0.502</v>
      </c>
      <c r="Z148" s="1418">
        <v>0.502</v>
      </c>
      <c r="AA148" s="1418">
        <v>1.72</v>
      </c>
      <c r="AB148" s="1418">
        <v>1.72</v>
      </c>
      <c r="AC148" s="1418">
        <v>0</v>
      </c>
      <c r="AD148" s="1418">
        <v>-200.75200000000001</v>
      </c>
      <c r="AE148" s="1418">
        <v>-200.75200000000001</v>
      </c>
      <c r="AF148" s="1418" t="s">
        <v>205</v>
      </c>
      <c r="AG148" s="1418">
        <v>0.28999999999999998</v>
      </c>
      <c r="AH148" s="1418">
        <v>5.0199999999999996</v>
      </c>
      <c r="AI148" s="1382" t="s">
        <v>205</v>
      </c>
      <c r="AJ148" s="1382" t="s">
        <v>205</v>
      </c>
      <c r="AK148" s="1382" t="s">
        <v>205</v>
      </c>
      <c r="AL148" s="1382" t="s">
        <v>205</v>
      </c>
      <c r="AM148" s="1382" t="s">
        <v>205</v>
      </c>
      <c r="AN148" s="1382" t="s">
        <v>205</v>
      </c>
      <c r="AO148" s="1382" t="s">
        <v>205</v>
      </c>
      <c r="AP148" s="1382" t="s">
        <v>205</v>
      </c>
      <c r="AQ148" s="1382" t="s">
        <v>205</v>
      </c>
      <c r="AR148" s="1382" t="s">
        <v>205</v>
      </c>
      <c r="AS148" s="1382" t="s">
        <v>205</v>
      </c>
      <c r="AT148" s="1382" t="s">
        <v>205</v>
      </c>
      <c r="AU148" s="1382" t="s">
        <v>205</v>
      </c>
      <c r="AV148" s="1382" t="s">
        <v>205</v>
      </c>
      <c r="AW148" s="1382"/>
      <c r="AX148" s="1382"/>
      <c r="AY148" s="1382"/>
      <c r="AZ148" s="1382"/>
    </row>
    <row r="149" spans="1:54" ht="112.5" x14ac:dyDescent="0.55000000000000004">
      <c r="B149" s="1567" t="s">
        <v>2116</v>
      </c>
      <c r="C149" s="1382" t="s">
        <v>2125</v>
      </c>
      <c r="D149" s="1492" t="s">
        <v>2126</v>
      </c>
      <c r="E149" s="1415" t="s">
        <v>1250</v>
      </c>
      <c r="F149" s="1387" t="s">
        <v>1088</v>
      </c>
      <c r="G149" s="1489" t="s">
        <v>850</v>
      </c>
      <c r="H149" s="1384" t="s">
        <v>1066</v>
      </c>
      <c r="I149" s="1384" t="s">
        <v>852</v>
      </c>
      <c r="J149" s="1377"/>
      <c r="K149" s="1377"/>
      <c r="L149" s="1377" t="s">
        <v>852</v>
      </c>
      <c r="M149" s="1377" t="s">
        <v>852</v>
      </c>
      <c r="N149" s="1377" t="s">
        <v>852</v>
      </c>
      <c r="O149" s="1377" t="s">
        <v>852</v>
      </c>
      <c r="P149" s="1377" t="s">
        <v>852</v>
      </c>
      <c r="Q149" s="1377" t="s">
        <v>852</v>
      </c>
      <c r="R149" s="1388" t="s">
        <v>2163</v>
      </c>
      <c r="S149" s="1388" t="s">
        <v>854</v>
      </c>
      <c r="T149" s="1388" t="s">
        <v>854</v>
      </c>
      <c r="U149" s="1417">
        <v>1.72</v>
      </c>
      <c r="V149" s="1417">
        <v>0</v>
      </c>
      <c r="W149" s="1417" t="s">
        <v>854</v>
      </c>
      <c r="X149" s="1417">
        <v>0</v>
      </c>
      <c r="Y149" s="1417">
        <v>1.004</v>
      </c>
      <c r="Z149" s="1417">
        <v>1.004</v>
      </c>
      <c r="AA149" s="1417">
        <v>1.72</v>
      </c>
      <c r="AB149" s="1417">
        <v>1.72</v>
      </c>
      <c r="AC149" s="1418">
        <v>0</v>
      </c>
      <c r="AD149" s="1418">
        <v>-200.75200000000001</v>
      </c>
      <c r="AE149" s="1418">
        <v>-200.75200000000001</v>
      </c>
      <c r="AF149" s="1418" t="s">
        <v>205</v>
      </c>
      <c r="AG149" s="1418">
        <v>0.28999999999999998</v>
      </c>
      <c r="AH149" s="1418">
        <v>5.0199999999999996</v>
      </c>
      <c r="AI149" s="1382" t="s">
        <v>205</v>
      </c>
      <c r="AJ149" s="1382" t="s">
        <v>205</v>
      </c>
      <c r="AK149" s="1382" t="s">
        <v>205</v>
      </c>
      <c r="AL149" s="1382" t="s">
        <v>205</v>
      </c>
      <c r="AM149" s="1382" t="s">
        <v>205</v>
      </c>
      <c r="AN149" s="1382" t="s">
        <v>205</v>
      </c>
      <c r="AO149" s="1382" t="s">
        <v>205</v>
      </c>
      <c r="AP149" s="1382" t="s">
        <v>205</v>
      </c>
      <c r="AQ149" s="1382" t="s">
        <v>205</v>
      </c>
      <c r="AR149" s="1382" t="s">
        <v>205</v>
      </c>
      <c r="AS149" s="1382" t="s">
        <v>205</v>
      </c>
      <c r="AT149" s="1382" t="s">
        <v>205</v>
      </c>
      <c r="AU149" s="1382" t="s">
        <v>205</v>
      </c>
      <c r="AV149" s="1382" t="s">
        <v>205</v>
      </c>
      <c r="AW149" s="1382"/>
      <c r="AX149" s="1382"/>
      <c r="AY149" s="1382"/>
      <c r="AZ149" s="1382"/>
    </row>
    <row r="150" spans="1:54" ht="135" x14ac:dyDescent="0.55000000000000004">
      <c r="B150" s="1567" t="s">
        <v>2116</v>
      </c>
      <c r="C150" s="1382" t="s">
        <v>2127</v>
      </c>
      <c r="D150" s="1492" t="s">
        <v>2128</v>
      </c>
      <c r="E150" s="1415" t="s">
        <v>1250</v>
      </c>
      <c r="F150" s="1387" t="s">
        <v>1088</v>
      </c>
      <c r="G150" s="1489" t="s">
        <v>850</v>
      </c>
      <c r="H150" s="1384" t="s">
        <v>1066</v>
      </c>
      <c r="I150" s="1384" t="s">
        <v>852</v>
      </c>
      <c r="J150" s="1377"/>
      <c r="K150" s="1377"/>
      <c r="L150" s="1377" t="s">
        <v>852</v>
      </c>
      <c r="M150" s="1377" t="s">
        <v>852</v>
      </c>
      <c r="N150" s="1377" t="s">
        <v>852</v>
      </c>
      <c r="O150" s="1377" t="s">
        <v>852</v>
      </c>
      <c r="P150" s="1377" t="s">
        <v>852</v>
      </c>
      <c r="Q150" s="1377" t="s">
        <v>852</v>
      </c>
      <c r="R150" s="1388" t="s">
        <v>2164</v>
      </c>
      <c r="S150" s="1388" t="s">
        <v>854</v>
      </c>
      <c r="T150" s="1388" t="s">
        <v>854</v>
      </c>
      <c r="U150" s="1417">
        <v>1.72</v>
      </c>
      <c r="V150" s="1417">
        <v>0</v>
      </c>
      <c r="W150" s="1417" t="s">
        <v>854</v>
      </c>
      <c r="X150" s="1417">
        <v>0</v>
      </c>
      <c r="Y150" s="1417">
        <v>0.33500000000000002</v>
      </c>
      <c r="Z150" s="1417">
        <v>0.33500000000000002</v>
      </c>
      <c r="AA150" s="1417">
        <v>1.72</v>
      </c>
      <c r="AB150" s="1417">
        <v>1.72</v>
      </c>
      <c r="AC150" s="1418">
        <v>0</v>
      </c>
      <c r="AD150" s="1418">
        <v>-200.75200000000001</v>
      </c>
      <c r="AE150" s="1418">
        <v>-200.75200000000001</v>
      </c>
      <c r="AF150" s="1418" t="s">
        <v>205</v>
      </c>
      <c r="AG150" s="1418">
        <v>0.28999999999999998</v>
      </c>
      <c r="AH150" s="1418">
        <v>5.0199999999999996</v>
      </c>
      <c r="AI150" s="1382" t="s">
        <v>205</v>
      </c>
      <c r="AJ150" s="1382" t="s">
        <v>205</v>
      </c>
      <c r="AK150" s="1382" t="s">
        <v>205</v>
      </c>
      <c r="AL150" s="1382" t="s">
        <v>205</v>
      </c>
      <c r="AM150" s="1382" t="s">
        <v>205</v>
      </c>
      <c r="AN150" s="1382" t="s">
        <v>205</v>
      </c>
      <c r="AO150" s="1382" t="s">
        <v>205</v>
      </c>
      <c r="AP150" s="1382" t="s">
        <v>205</v>
      </c>
      <c r="AQ150" s="1382" t="s">
        <v>205</v>
      </c>
      <c r="AR150" s="1382" t="s">
        <v>205</v>
      </c>
      <c r="AS150" s="1382" t="s">
        <v>205</v>
      </c>
      <c r="AT150" s="1382" t="s">
        <v>205</v>
      </c>
      <c r="AU150" s="1382" t="s">
        <v>205</v>
      </c>
      <c r="AV150" s="1382" t="s">
        <v>205</v>
      </c>
      <c r="AW150" s="1382"/>
      <c r="AX150" s="1382"/>
      <c r="AY150" s="1382"/>
      <c r="AZ150" s="1382"/>
    </row>
    <row r="151" spans="1:54" ht="67.5" x14ac:dyDescent="0.55000000000000004">
      <c r="B151" s="1567" t="s">
        <v>2116</v>
      </c>
      <c r="C151" s="1384" t="s">
        <v>2117</v>
      </c>
      <c r="D151" s="1384" t="s">
        <v>2118</v>
      </c>
      <c r="E151" s="1389" t="s">
        <v>1274</v>
      </c>
      <c r="F151" s="1393" t="s">
        <v>1088</v>
      </c>
      <c r="G151" s="1489" t="s">
        <v>850</v>
      </c>
      <c r="H151" s="1384" t="s">
        <v>1066</v>
      </c>
      <c r="I151" s="1377" t="s">
        <v>852</v>
      </c>
      <c r="J151" s="1377"/>
      <c r="K151" s="1377"/>
      <c r="L151" s="1377" t="s">
        <v>852</v>
      </c>
      <c r="M151" s="1377" t="s">
        <v>852</v>
      </c>
      <c r="N151" s="1377" t="s">
        <v>852</v>
      </c>
      <c r="O151" s="1377" t="s">
        <v>852</v>
      </c>
      <c r="P151" s="1377" t="s">
        <v>852</v>
      </c>
      <c r="Q151" s="1377" t="s">
        <v>852</v>
      </c>
      <c r="R151" s="1388" t="s">
        <v>2165</v>
      </c>
      <c r="S151" s="1388" t="s">
        <v>854</v>
      </c>
      <c r="T151" s="1388" t="s">
        <v>854</v>
      </c>
      <c r="U151" s="1417">
        <v>0.68</v>
      </c>
      <c r="V151" s="1417">
        <v>0</v>
      </c>
      <c r="W151" s="1417" t="s">
        <v>854</v>
      </c>
      <c r="X151" s="1417">
        <v>0</v>
      </c>
      <c r="Y151" s="1417">
        <v>0.156</v>
      </c>
      <c r="Z151" s="1417">
        <v>0.156</v>
      </c>
      <c r="AA151" s="1417">
        <v>0.68</v>
      </c>
      <c r="AB151" s="1417">
        <v>0.68</v>
      </c>
      <c r="AC151" s="1418">
        <v>0</v>
      </c>
      <c r="AD151" s="1418">
        <v>-79.367000000000004</v>
      </c>
      <c r="AE151" s="1418">
        <v>-79.367000000000004</v>
      </c>
      <c r="AF151" s="1418" t="s">
        <v>205</v>
      </c>
      <c r="AG151" s="1418">
        <v>0.12</v>
      </c>
      <c r="AH151" s="1418">
        <v>0.78</v>
      </c>
      <c r="AI151" s="1382" t="s">
        <v>205</v>
      </c>
      <c r="AJ151" s="1382" t="s">
        <v>205</v>
      </c>
      <c r="AK151" s="1382" t="s">
        <v>205</v>
      </c>
      <c r="AL151" s="1382" t="s">
        <v>205</v>
      </c>
      <c r="AM151" s="1382" t="s">
        <v>205</v>
      </c>
      <c r="AN151" s="1382" t="s">
        <v>205</v>
      </c>
      <c r="AO151" s="1382" t="s">
        <v>205</v>
      </c>
      <c r="AP151" s="1382" t="s">
        <v>205</v>
      </c>
      <c r="AQ151" s="1382" t="s">
        <v>205</v>
      </c>
      <c r="AR151" s="1382" t="s">
        <v>205</v>
      </c>
      <c r="AS151" s="1382" t="s">
        <v>205</v>
      </c>
      <c r="AT151" s="1382" t="s">
        <v>205</v>
      </c>
      <c r="AU151" s="1382" t="s">
        <v>205</v>
      </c>
      <c r="AV151" s="1382" t="s">
        <v>205</v>
      </c>
      <c r="AW151" s="1382"/>
      <c r="AX151" s="1382"/>
      <c r="AY151" s="1382"/>
      <c r="AZ151" s="1382"/>
    </row>
    <row r="152" spans="1:54" ht="91" x14ac:dyDescent="0.55000000000000004">
      <c r="B152" s="1560" t="s">
        <v>2116</v>
      </c>
      <c r="C152" s="1384" t="s">
        <v>2119</v>
      </c>
      <c r="D152" s="1483" t="s">
        <v>2120</v>
      </c>
      <c r="E152" s="1389" t="s">
        <v>1274</v>
      </c>
      <c r="F152" s="1393" t="s">
        <v>1088</v>
      </c>
      <c r="G152" s="1489" t="s">
        <v>850</v>
      </c>
      <c r="H152" s="1384" t="s">
        <v>1066</v>
      </c>
      <c r="I152" s="1377" t="s">
        <v>852</v>
      </c>
      <c r="J152" s="1377"/>
      <c r="K152" s="1377"/>
      <c r="L152" s="1377" t="s">
        <v>852</v>
      </c>
      <c r="M152" s="1377" t="s">
        <v>852</v>
      </c>
      <c r="N152" s="1377" t="s">
        <v>852</v>
      </c>
      <c r="O152" s="1377" t="s">
        <v>852</v>
      </c>
      <c r="P152" s="1377" t="s">
        <v>852</v>
      </c>
      <c r="Q152" s="1377" t="s">
        <v>852</v>
      </c>
      <c r="R152" s="1388" t="s">
        <v>2165</v>
      </c>
      <c r="S152" s="1388" t="s">
        <v>854</v>
      </c>
      <c r="T152" s="1388" t="s">
        <v>854</v>
      </c>
      <c r="U152" s="1417">
        <v>2.4500000000000002</v>
      </c>
      <c r="V152" s="1417">
        <v>0</v>
      </c>
      <c r="W152" s="1417" t="s">
        <v>854</v>
      </c>
      <c r="X152" s="1417">
        <v>0</v>
      </c>
      <c r="Y152" s="1417">
        <v>0.40899999999999997</v>
      </c>
      <c r="Z152" s="1417">
        <v>0.40899999999999997</v>
      </c>
      <c r="AA152" s="1417">
        <v>2.4500000000000002</v>
      </c>
      <c r="AB152" s="1417">
        <v>2.4500000000000002</v>
      </c>
      <c r="AC152" s="1418">
        <v>0</v>
      </c>
      <c r="AD152" s="1418">
        <v>-285.95400000000001</v>
      </c>
      <c r="AE152" s="1418">
        <v>-285.95400000000001</v>
      </c>
      <c r="AF152" s="1418" t="s">
        <v>205</v>
      </c>
      <c r="AG152" s="1418">
        <v>0.17</v>
      </c>
      <c r="AH152" s="1418">
        <v>4.09</v>
      </c>
      <c r="AI152" s="1382" t="s">
        <v>205</v>
      </c>
      <c r="AJ152" s="1382" t="s">
        <v>205</v>
      </c>
      <c r="AK152" s="1382" t="s">
        <v>205</v>
      </c>
      <c r="AL152" s="1382" t="s">
        <v>205</v>
      </c>
      <c r="AM152" s="1382" t="s">
        <v>205</v>
      </c>
      <c r="AN152" s="1382" t="s">
        <v>205</v>
      </c>
      <c r="AO152" s="1382" t="s">
        <v>205</v>
      </c>
      <c r="AP152" s="1382" t="s">
        <v>205</v>
      </c>
      <c r="AQ152" s="1382" t="s">
        <v>205</v>
      </c>
      <c r="AR152" s="1382" t="s">
        <v>205</v>
      </c>
      <c r="AS152" s="1382" t="s">
        <v>205</v>
      </c>
      <c r="AT152" s="1382" t="s">
        <v>205</v>
      </c>
      <c r="AU152" s="1382" t="s">
        <v>205</v>
      </c>
      <c r="AV152" s="1382" t="s">
        <v>205</v>
      </c>
      <c r="AW152" s="1382"/>
      <c r="AX152" s="1382"/>
      <c r="AY152" s="1382"/>
      <c r="AZ152" s="1382"/>
    </row>
    <row r="153" spans="1:54" ht="91" x14ac:dyDescent="0.55000000000000004">
      <c r="B153" s="1560" t="s">
        <v>1247</v>
      </c>
      <c r="C153" s="1384" t="s">
        <v>2121</v>
      </c>
      <c r="D153" s="1483" t="s">
        <v>2122</v>
      </c>
      <c r="E153" s="1389" t="s">
        <v>1274</v>
      </c>
      <c r="F153" s="1393" t="s">
        <v>1088</v>
      </c>
      <c r="G153" s="1489" t="s">
        <v>850</v>
      </c>
      <c r="H153" s="1384" t="s">
        <v>851</v>
      </c>
      <c r="I153" s="1377" t="s">
        <v>852</v>
      </c>
      <c r="J153" s="1377"/>
      <c r="K153" s="1377"/>
      <c r="L153" s="1377" t="s">
        <v>853</v>
      </c>
      <c r="M153" s="1377" t="s">
        <v>853</v>
      </c>
      <c r="N153" s="1377" t="s">
        <v>853</v>
      </c>
      <c r="O153" s="1377" t="s">
        <v>853</v>
      </c>
      <c r="P153" s="1377" t="s">
        <v>853</v>
      </c>
      <c r="Q153" s="1377" t="s">
        <v>853</v>
      </c>
      <c r="R153" s="1388" t="s">
        <v>854</v>
      </c>
      <c r="S153" s="1388" t="s">
        <v>854</v>
      </c>
      <c r="T153" s="1388" t="s">
        <v>854</v>
      </c>
      <c r="U153" s="1595">
        <v>0.8</v>
      </c>
      <c r="V153" s="1417">
        <v>0</v>
      </c>
      <c r="W153" s="1417" t="s">
        <v>227</v>
      </c>
      <c r="X153" s="1417">
        <v>0</v>
      </c>
      <c r="Y153" s="1417">
        <v>0.12</v>
      </c>
      <c r="Z153" s="1417">
        <v>0.12</v>
      </c>
      <c r="AA153" s="1417">
        <v>0.8</v>
      </c>
      <c r="AB153" s="1417">
        <v>0.8</v>
      </c>
      <c r="AC153" s="1418">
        <v>0</v>
      </c>
      <c r="AD153" s="1418">
        <v>-93.372</v>
      </c>
      <c r="AE153" s="1418">
        <v>-93.372</v>
      </c>
      <c r="AF153" s="1418" t="s">
        <v>205</v>
      </c>
      <c r="AG153" s="1418">
        <v>7.4999999999999997E-2</v>
      </c>
      <c r="AH153" s="1596">
        <v>0.6</v>
      </c>
      <c r="AI153" s="1382" t="s">
        <v>205</v>
      </c>
      <c r="AJ153" s="1382" t="s">
        <v>205</v>
      </c>
      <c r="AK153" s="1382" t="s">
        <v>205</v>
      </c>
      <c r="AL153" s="1382" t="s">
        <v>205</v>
      </c>
      <c r="AM153" s="1382" t="s">
        <v>205</v>
      </c>
      <c r="AN153" s="1382" t="s">
        <v>205</v>
      </c>
      <c r="AO153" s="1382" t="s">
        <v>205</v>
      </c>
      <c r="AP153" s="1382" t="s">
        <v>205</v>
      </c>
      <c r="AQ153" s="1382" t="s">
        <v>205</v>
      </c>
      <c r="AR153" s="1382" t="s">
        <v>205</v>
      </c>
      <c r="AS153" s="1382" t="s">
        <v>205</v>
      </c>
      <c r="AT153" s="1382" t="s">
        <v>205</v>
      </c>
      <c r="AU153" s="1382" t="s">
        <v>205</v>
      </c>
      <c r="AV153" s="1382" t="s">
        <v>205</v>
      </c>
      <c r="AW153" s="1382"/>
      <c r="AX153" s="1382"/>
      <c r="AY153" s="1382"/>
      <c r="AZ153" s="1382"/>
    </row>
    <row r="154" spans="1:54" ht="112.5" x14ac:dyDescent="0.35">
      <c r="B154" s="1560" t="s">
        <v>2116</v>
      </c>
      <c r="C154" s="1384" t="s">
        <v>2123</v>
      </c>
      <c r="D154" s="1490" t="s">
        <v>2124</v>
      </c>
      <c r="E154" s="1491" t="s">
        <v>1274</v>
      </c>
      <c r="F154" s="1393" t="s">
        <v>1088</v>
      </c>
      <c r="G154" s="1472" t="s">
        <v>850</v>
      </c>
      <c r="H154" s="1384" t="s">
        <v>1066</v>
      </c>
      <c r="I154" s="1377" t="s">
        <v>853</v>
      </c>
      <c r="J154" s="1377"/>
      <c r="K154" s="1377"/>
      <c r="L154" s="1377" t="s">
        <v>852</v>
      </c>
      <c r="M154" s="1377" t="s">
        <v>852</v>
      </c>
      <c r="N154" s="1377" t="s">
        <v>852</v>
      </c>
      <c r="O154" s="1377" t="s">
        <v>852</v>
      </c>
      <c r="P154" s="1377" t="s">
        <v>852</v>
      </c>
      <c r="Q154" s="1377" t="s">
        <v>852</v>
      </c>
      <c r="R154" s="1388" t="s">
        <v>2166</v>
      </c>
      <c r="S154" s="1388" t="s">
        <v>854</v>
      </c>
      <c r="T154" s="1388" t="s">
        <v>854</v>
      </c>
      <c r="U154" s="1417">
        <v>0</v>
      </c>
      <c r="V154" s="1417">
        <v>0</v>
      </c>
      <c r="W154" s="1417" t="s">
        <v>854</v>
      </c>
      <c r="X154" s="1417">
        <v>0</v>
      </c>
      <c r="Y154" s="1417">
        <v>0</v>
      </c>
      <c r="Z154" s="1417">
        <v>0</v>
      </c>
      <c r="AA154" s="1417">
        <v>0</v>
      </c>
      <c r="AB154" s="1417">
        <v>0</v>
      </c>
      <c r="AC154" s="1418">
        <v>0</v>
      </c>
      <c r="AD154" s="1418">
        <v>0</v>
      </c>
      <c r="AE154" s="1418">
        <v>0</v>
      </c>
      <c r="AF154" s="1418" t="s">
        <v>205</v>
      </c>
      <c r="AG154" s="1418">
        <v>0</v>
      </c>
      <c r="AH154" s="1418">
        <v>0</v>
      </c>
      <c r="AI154" s="1382" t="s">
        <v>205</v>
      </c>
      <c r="AJ154" s="1382" t="s">
        <v>205</v>
      </c>
      <c r="AK154" s="1382" t="s">
        <v>205</v>
      </c>
      <c r="AL154" s="1382" t="s">
        <v>205</v>
      </c>
      <c r="AM154" s="1382" t="s">
        <v>205</v>
      </c>
      <c r="AN154" s="1382" t="s">
        <v>205</v>
      </c>
      <c r="AO154" s="1382" t="s">
        <v>205</v>
      </c>
      <c r="AP154" s="1382" t="s">
        <v>205</v>
      </c>
      <c r="AQ154" s="1382" t="s">
        <v>205</v>
      </c>
      <c r="AR154" s="1382" t="s">
        <v>205</v>
      </c>
      <c r="AS154" s="1382" t="s">
        <v>205</v>
      </c>
      <c r="AT154" s="1382" t="s">
        <v>205</v>
      </c>
      <c r="AU154" s="1382" t="s">
        <v>205</v>
      </c>
      <c r="AV154" s="1382" t="s">
        <v>205</v>
      </c>
      <c r="AW154" s="1382"/>
      <c r="AX154" s="1382"/>
      <c r="AY154" s="1382"/>
      <c r="AZ154" s="1382"/>
    </row>
    <row r="155" spans="1:54" ht="67.5" x14ac:dyDescent="0.55000000000000004">
      <c r="B155" s="1567" t="s">
        <v>1210</v>
      </c>
      <c r="C155" s="1382" t="s">
        <v>1253</v>
      </c>
      <c r="D155" s="1388" t="s">
        <v>1254</v>
      </c>
      <c r="E155" s="1389" t="s">
        <v>1255</v>
      </c>
      <c r="F155" s="1387" t="s">
        <v>1214</v>
      </c>
      <c r="G155" s="1379" t="s">
        <v>850</v>
      </c>
      <c r="H155" s="1377" t="s">
        <v>851</v>
      </c>
      <c r="I155" s="1384" t="s">
        <v>852</v>
      </c>
      <c r="J155" s="1384"/>
      <c r="K155" s="1384"/>
      <c r="L155" s="1384" t="s">
        <v>853</v>
      </c>
      <c r="M155" s="1384" t="s">
        <v>853</v>
      </c>
      <c r="N155" s="1377" t="s">
        <v>853</v>
      </c>
      <c r="O155" s="1377" t="s">
        <v>853</v>
      </c>
      <c r="P155" s="1377" t="s">
        <v>853</v>
      </c>
      <c r="Q155" s="1377" t="s">
        <v>853</v>
      </c>
      <c r="R155" s="1377" t="s">
        <v>854</v>
      </c>
      <c r="S155" s="1381" t="s">
        <v>854</v>
      </c>
      <c r="T155" s="1381" t="s">
        <v>854</v>
      </c>
      <c r="U155" s="1418">
        <v>0.66</v>
      </c>
      <c r="V155" s="1418">
        <v>0</v>
      </c>
      <c r="W155" s="1417" t="s">
        <v>227</v>
      </c>
      <c r="X155" s="1418">
        <v>0</v>
      </c>
      <c r="Y155" s="1418">
        <v>0.39200000000000002</v>
      </c>
      <c r="Z155" s="1418">
        <v>0.28699999999999998</v>
      </c>
      <c r="AA155" s="1418">
        <v>0.66</v>
      </c>
      <c r="AB155" s="1418">
        <v>0.66</v>
      </c>
      <c r="AC155" s="1418">
        <v>0</v>
      </c>
      <c r="AD155" s="1418">
        <v>-77.033000000000001</v>
      </c>
      <c r="AE155" s="1418">
        <v>-77.033000000000001</v>
      </c>
      <c r="AF155" s="1418" t="s">
        <v>205</v>
      </c>
      <c r="AG155" s="1418">
        <v>0.65</v>
      </c>
      <c r="AH155" s="1418">
        <v>4.3099999999999996</v>
      </c>
      <c r="AI155" s="1382" t="s">
        <v>205</v>
      </c>
      <c r="AJ155" s="1382" t="s">
        <v>205</v>
      </c>
      <c r="AK155" s="1382" t="s">
        <v>205</v>
      </c>
      <c r="AL155" s="1382" t="s">
        <v>205</v>
      </c>
      <c r="AM155" s="1382" t="s">
        <v>205</v>
      </c>
      <c r="AN155" s="1382" t="s">
        <v>205</v>
      </c>
      <c r="AO155" s="1382" t="s">
        <v>205</v>
      </c>
      <c r="AP155" s="1382" t="s">
        <v>205</v>
      </c>
      <c r="AQ155" s="1382" t="s">
        <v>205</v>
      </c>
      <c r="AR155" s="1382" t="s">
        <v>205</v>
      </c>
      <c r="AS155" s="1382" t="s">
        <v>205</v>
      </c>
      <c r="AT155" s="1382" t="s">
        <v>205</v>
      </c>
      <c r="AU155" s="1382" t="s">
        <v>205</v>
      </c>
      <c r="AV155" s="1382" t="s">
        <v>205</v>
      </c>
      <c r="AW155" s="1382"/>
      <c r="AX155" s="1382"/>
      <c r="AY155" s="1382"/>
      <c r="AZ155" s="1382"/>
    </row>
    <row r="156" spans="1:54" ht="47" x14ac:dyDescent="0.55000000000000004">
      <c r="B156" s="1567" t="s">
        <v>1210</v>
      </c>
      <c r="C156" s="1382" t="s">
        <v>1256</v>
      </c>
      <c r="D156" s="1388" t="s">
        <v>1257</v>
      </c>
      <c r="E156" s="1389" t="s">
        <v>1255</v>
      </c>
      <c r="F156" s="1387" t="s">
        <v>1214</v>
      </c>
      <c r="G156" s="1379" t="s">
        <v>850</v>
      </c>
      <c r="H156" s="1377" t="s">
        <v>851</v>
      </c>
      <c r="I156" s="1384" t="s">
        <v>852</v>
      </c>
      <c r="J156" s="1384"/>
      <c r="K156" s="1384"/>
      <c r="L156" s="1384" t="s">
        <v>853</v>
      </c>
      <c r="M156" s="1384" t="s">
        <v>853</v>
      </c>
      <c r="N156" s="1377" t="s">
        <v>853</v>
      </c>
      <c r="O156" s="1377" t="s">
        <v>853</v>
      </c>
      <c r="P156" s="1377" t="s">
        <v>853</v>
      </c>
      <c r="Q156" s="1377" t="s">
        <v>853</v>
      </c>
      <c r="R156" s="1377" t="s">
        <v>854</v>
      </c>
      <c r="S156" s="1381" t="s">
        <v>854</v>
      </c>
      <c r="T156" s="1381" t="s">
        <v>854</v>
      </c>
      <c r="U156" s="1418">
        <v>0.66</v>
      </c>
      <c r="V156" s="1418">
        <v>0</v>
      </c>
      <c r="W156" s="1417" t="s">
        <v>227</v>
      </c>
      <c r="X156" s="1418">
        <v>0</v>
      </c>
      <c r="Y156" s="1418">
        <v>0.01</v>
      </c>
      <c r="Z156" s="1418">
        <v>7.0000000000000001E-3</v>
      </c>
      <c r="AA156" s="1418">
        <v>0.66</v>
      </c>
      <c r="AB156" s="1418">
        <v>0.66</v>
      </c>
      <c r="AC156" s="1418">
        <v>0</v>
      </c>
      <c r="AD156" s="1418">
        <v>-77.033000000000001</v>
      </c>
      <c r="AE156" s="1418">
        <v>-77.033000000000001</v>
      </c>
      <c r="AF156" s="1418" t="s">
        <v>205</v>
      </c>
      <c r="AG156" s="1418">
        <v>1.7000000000000001E-2</v>
      </c>
      <c r="AH156" s="1418">
        <v>0.11</v>
      </c>
      <c r="AI156" s="1382" t="s">
        <v>205</v>
      </c>
      <c r="AJ156" s="1382" t="s">
        <v>205</v>
      </c>
      <c r="AK156" s="1382" t="s">
        <v>205</v>
      </c>
      <c r="AL156" s="1382" t="s">
        <v>205</v>
      </c>
      <c r="AM156" s="1382" t="s">
        <v>205</v>
      </c>
      <c r="AN156" s="1382" t="s">
        <v>205</v>
      </c>
      <c r="AO156" s="1382" t="s">
        <v>205</v>
      </c>
      <c r="AP156" s="1382" t="s">
        <v>205</v>
      </c>
      <c r="AQ156" s="1382" t="s">
        <v>205</v>
      </c>
      <c r="AR156" s="1382" t="s">
        <v>205</v>
      </c>
      <c r="AS156" s="1382" t="s">
        <v>205</v>
      </c>
      <c r="AT156" s="1382" t="s">
        <v>205</v>
      </c>
      <c r="AU156" s="1382" t="s">
        <v>205</v>
      </c>
      <c r="AV156" s="1382" t="s">
        <v>205</v>
      </c>
      <c r="AW156" s="1382"/>
      <c r="AX156" s="1382"/>
      <c r="AY156" s="1382"/>
      <c r="AZ156" s="1382"/>
    </row>
    <row r="157" spans="1:54" ht="90" x14ac:dyDescent="0.35">
      <c r="B157" s="1567" t="s">
        <v>1247</v>
      </c>
      <c r="C157" s="1382" t="s">
        <v>1258</v>
      </c>
      <c r="D157" s="1382" t="s">
        <v>1259</v>
      </c>
      <c r="E157" s="1386" t="s">
        <v>1260</v>
      </c>
      <c r="F157" s="1387" t="s">
        <v>1088</v>
      </c>
      <c r="G157" s="1379" t="s">
        <v>850</v>
      </c>
      <c r="H157" s="1377" t="s">
        <v>851</v>
      </c>
      <c r="I157" s="1384" t="s">
        <v>852</v>
      </c>
      <c r="J157" s="1384"/>
      <c r="K157" s="1384"/>
      <c r="L157" s="1384" t="s">
        <v>853</v>
      </c>
      <c r="M157" s="1384" t="s">
        <v>853</v>
      </c>
      <c r="N157" s="1377" t="s">
        <v>853</v>
      </c>
      <c r="O157" s="1377" t="s">
        <v>853</v>
      </c>
      <c r="P157" s="1377" t="s">
        <v>853</v>
      </c>
      <c r="Q157" s="1377" t="s">
        <v>853</v>
      </c>
      <c r="R157" s="1388" t="s">
        <v>854</v>
      </c>
      <c r="S157" s="1381" t="s">
        <v>854</v>
      </c>
      <c r="T157" s="1381" t="s">
        <v>854</v>
      </c>
      <c r="U157" s="1418">
        <v>0.42</v>
      </c>
      <c r="V157" s="1418">
        <v>0</v>
      </c>
      <c r="W157" s="1417" t="s">
        <v>227</v>
      </c>
      <c r="X157" s="1418">
        <v>0</v>
      </c>
      <c r="Y157" s="1418">
        <v>2.5999999999999999E-2</v>
      </c>
      <c r="Z157" s="1418">
        <v>1.44E-2</v>
      </c>
      <c r="AA157" s="1418">
        <v>0.42</v>
      </c>
      <c r="AB157" s="1418">
        <v>0.42</v>
      </c>
      <c r="AC157" s="1418">
        <v>0</v>
      </c>
      <c r="AD157" s="1418">
        <v>-49.021000000000001</v>
      </c>
      <c r="AE157" s="1418">
        <v>-49.021000000000001</v>
      </c>
      <c r="AF157" s="1418" t="s">
        <v>205</v>
      </c>
      <c r="AG157" s="1418">
        <v>0.09</v>
      </c>
      <c r="AH157" s="1418">
        <v>0.36</v>
      </c>
      <c r="AI157" s="1382" t="s">
        <v>205</v>
      </c>
      <c r="AJ157" s="1382" t="s">
        <v>205</v>
      </c>
      <c r="AK157" s="1382" t="s">
        <v>205</v>
      </c>
      <c r="AL157" s="1382" t="s">
        <v>205</v>
      </c>
      <c r="AM157" s="1382" t="s">
        <v>205</v>
      </c>
      <c r="AN157" s="1382" t="s">
        <v>205</v>
      </c>
      <c r="AO157" s="1382" t="s">
        <v>205</v>
      </c>
      <c r="AP157" s="1382" t="s">
        <v>205</v>
      </c>
      <c r="AQ157" s="1382" t="s">
        <v>205</v>
      </c>
      <c r="AR157" s="1382" t="s">
        <v>205</v>
      </c>
      <c r="AS157" s="1382" t="s">
        <v>205</v>
      </c>
      <c r="AT157" s="1382" t="s">
        <v>205</v>
      </c>
      <c r="AU157" s="1382" t="s">
        <v>205</v>
      </c>
      <c r="AV157" s="1382" t="s">
        <v>205</v>
      </c>
      <c r="AW157" s="1382"/>
      <c r="AX157" s="1382"/>
      <c r="AY157" s="1382"/>
      <c r="AZ157" s="1382"/>
    </row>
    <row r="158" spans="1:54" ht="70.5" x14ac:dyDescent="0.55000000000000004">
      <c r="B158" s="1567" t="s">
        <v>1210</v>
      </c>
      <c r="C158" s="1382" t="s">
        <v>1261</v>
      </c>
      <c r="D158" s="1388" t="s">
        <v>1262</v>
      </c>
      <c r="E158" s="1389" t="s">
        <v>1263</v>
      </c>
      <c r="F158" s="1387" t="s">
        <v>1214</v>
      </c>
      <c r="G158" s="1379" t="s">
        <v>850</v>
      </c>
      <c r="H158" s="1377" t="s">
        <v>851</v>
      </c>
      <c r="I158" s="1384" t="s">
        <v>852</v>
      </c>
      <c r="J158" s="1384"/>
      <c r="K158" s="1384"/>
      <c r="L158" s="1384" t="s">
        <v>853</v>
      </c>
      <c r="M158" s="1384" t="s">
        <v>853</v>
      </c>
      <c r="N158" s="1377" t="s">
        <v>853</v>
      </c>
      <c r="O158" s="1377" t="s">
        <v>853</v>
      </c>
      <c r="P158" s="1377" t="s">
        <v>853</v>
      </c>
      <c r="Q158" s="1377" t="s">
        <v>853</v>
      </c>
      <c r="R158" s="1388" t="s">
        <v>854</v>
      </c>
      <c r="S158" s="1381" t="s">
        <v>854</v>
      </c>
      <c r="T158" s="1381" t="s">
        <v>854</v>
      </c>
      <c r="U158" s="1418">
        <v>3.5</v>
      </c>
      <c r="V158" s="1418">
        <v>0</v>
      </c>
      <c r="W158" s="1418" t="s">
        <v>237</v>
      </c>
      <c r="X158" s="1418">
        <v>0</v>
      </c>
      <c r="Y158" s="1418">
        <v>2.3180000000000001</v>
      </c>
      <c r="Z158" s="1418">
        <v>1.105</v>
      </c>
      <c r="AA158" s="1418">
        <v>3.5</v>
      </c>
      <c r="AB158" s="1418">
        <v>3.5</v>
      </c>
      <c r="AC158" s="1418">
        <v>0</v>
      </c>
      <c r="AD158" s="1418">
        <v>-40.850999999999999</v>
      </c>
      <c r="AE158" s="1418">
        <v>-40.850999999999999</v>
      </c>
      <c r="AF158" s="1418" t="s">
        <v>205</v>
      </c>
      <c r="AG158" s="1418">
        <v>0.47</v>
      </c>
      <c r="AH158" s="1418">
        <v>16.57</v>
      </c>
      <c r="AI158" s="1382" t="s">
        <v>205</v>
      </c>
      <c r="AJ158" s="1382" t="s">
        <v>205</v>
      </c>
      <c r="AK158" s="1382" t="s">
        <v>205</v>
      </c>
      <c r="AL158" s="1382" t="s">
        <v>205</v>
      </c>
      <c r="AM158" s="1382" t="s">
        <v>205</v>
      </c>
      <c r="AN158" s="1382" t="s">
        <v>205</v>
      </c>
      <c r="AO158" s="1382" t="s">
        <v>205</v>
      </c>
      <c r="AP158" s="1382" t="s">
        <v>205</v>
      </c>
      <c r="AQ158" s="1382" t="s">
        <v>205</v>
      </c>
      <c r="AR158" s="1382" t="s">
        <v>205</v>
      </c>
      <c r="AS158" s="1382" t="s">
        <v>205</v>
      </c>
      <c r="AT158" s="1382" t="s">
        <v>205</v>
      </c>
      <c r="AU158" s="1382" t="s">
        <v>205</v>
      </c>
      <c r="AV158" s="1382" t="s">
        <v>205</v>
      </c>
      <c r="AW158" s="1382"/>
      <c r="AX158" s="1382"/>
      <c r="AY158" s="1382"/>
      <c r="AZ158" s="1382"/>
    </row>
    <row r="159" spans="1:54" ht="90" x14ac:dyDescent="0.55000000000000004">
      <c r="B159" s="1567" t="s">
        <v>1247</v>
      </c>
      <c r="C159" s="1382" t="s">
        <v>1264</v>
      </c>
      <c r="D159" s="1388" t="s">
        <v>1265</v>
      </c>
      <c r="E159" s="1389" t="s">
        <v>1266</v>
      </c>
      <c r="F159" s="1387" t="s">
        <v>1088</v>
      </c>
      <c r="G159" s="1379" t="s">
        <v>850</v>
      </c>
      <c r="H159" s="1377" t="s">
        <v>851</v>
      </c>
      <c r="I159" s="1384" t="s">
        <v>852</v>
      </c>
      <c r="J159" s="1384"/>
      <c r="K159" s="1384" t="s">
        <v>1267</v>
      </c>
      <c r="L159" s="1384" t="s">
        <v>853</v>
      </c>
      <c r="M159" s="1384" t="s">
        <v>853</v>
      </c>
      <c r="N159" s="1377" t="s">
        <v>853</v>
      </c>
      <c r="O159" s="1377" t="s">
        <v>853</v>
      </c>
      <c r="P159" s="1377" t="s">
        <v>853</v>
      </c>
      <c r="Q159" s="1377" t="s">
        <v>853</v>
      </c>
      <c r="R159" s="1377" t="s">
        <v>854</v>
      </c>
      <c r="S159" s="1381" t="s">
        <v>854</v>
      </c>
      <c r="T159" s="1381" t="s">
        <v>854</v>
      </c>
      <c r="U159" s="1418">
        <v>0.66</v>
      </c>
      <c r="V159" s="1418">
        <v>0</v>
      </c>
      <c r="W159" s="1418" t="s">
        <v>237</v>
      </c>
      <c r="X159" s="1418">
        <v>0</v>
      </c>
      <c r="Y159" s="1418">
        <v>2.5999999999999999E-2</v>
      </c>
      <c r="Z159" s="1418">
        <v>0.02</v>
      </c>
      <c r="AA159" s="1418">
        <v>0.66</v>
      </c>
      <c r="AB159" s="1418">
        <v>0.66</v>
      </c>
      <c r="AC159" s="1418">
        <v>0</v>
      </c>
      <c r="AD159" s="1418">
        <v>-77.033000000000001</v>
      </c>
      <c r="AE159" s="1418">
        <v>-77.033000000000001</v>
      </c>
      <c r="AF159" s="1418" t="s">
        <v>205</v>
      </c>
      <c r="AG159" s="1418">
        <v>0.05</v>
      </c>
      <c r="AH159" s="1418">
        <v>0.3</v>
      </c>
      <c r="AI159" s="1382" t="s">
        <v>205</v>
      </c>
      <c r="AJ159" s="1382" t="s">
        <v>205</v>
      </c>
      <c r="AK159" s="1382" t="s">
        <v>205</v>
      </c>
      <c r="AL159" s="1382" t="s">
        <v>205</v>
      </c>
      <c r="AM159" s="1382" t="s">
        <v>205</v>
      </c>
      <c r="AN159" s="1382" t="s">
        <v>205</v>
      </c>
      <c r="AO159" s="1382" t="s">
        <v>205</v>
      </c>
      <c r="AP159" s="1382" t="s">
        <v>205</v>
      </c>
      <c r="AQ159" s="1382" t="s">
        <v>205</v>
      </c>
      <c r="AR159" s="1382" t="s">
        <v>205</v>
      </c>
      <c r="AS159" s="1382" t="s">
        <v>205</v>
      </c>
      <c r="AT159" s="1382" t="s">
        <v>205</v>
      </c>
      <c r="AU159" s="1382" t="s">
        <v>205</v>
      </c>
      <c r="AV159" s="1382" t="s">
        <v>205</v>
      </c>
      <c r="AW159" s="1382"/>
      <c r="AX159" s="1382"/>
      <c r="AY159" s="1382"/>
      <c r="AZ159" s="1382"/>
    </row>
    <row r="160" spans="1:54" ht="68" thickBot="1" x14ac:dyDescent="0.6">
      <c r="B160" s="1406" t="s">
        <v>1220</v>
      </c>
      <c r="C160" s="1405" t="s">
        <v>1268</v>
      </c>
      <c r="D160" s="1405" t="s">
        <v>1269</v>
      </c>
      <c r="E160" s="1568" t="s">
        <v>1255</v>
      </c>
      <c r="F160" s="1569" t="s">
        <v>1214</v>
      </c>
      <c r="G160" s="1570" t="s">
        <v>850</v>
      </c>
      <c r="H160" s="1539" t="s">
        <v>1066</v>
      </c>
      <c r="I160" s="1539" t="s">
        <v>852</v>
      </c>
      <c r="J160" s="1539"/>
      <c r="K160" s="1532" t="s">
        <v>1267</v>
      </c>
      <c r="L160" s="1377" t="s">
        <v>852</v>
      </c>
      <c r="M160" s="1377" t="s">
        <v>852</v>
      </c>
      <c r="N160" s="1377" t="s">
        <v>852</v>
      </c>
      <c r="O160" s="1377" t="s">
        <v>852</v>
      </c>
      <c r="P160" s="1377" t="s">
        <v>852</v>
      </c>
      <c r="Q160" s="1377" t="s">
        <v>852</v>
      </c>
      <c r="R160" s="1532" t="s">
        <v>2170</v>
      </c>
      <c r="S160" s="1536" t="s">
        <v>854</v>
      </c>
      <c r="T160" s="1536" t="s">
        <v>854</v>
      </c>
      <c r="U160" s="1565">
        <v>1.34</v>
      </c>
      <c r="V160" s="1565">
        <v>0</v>
      </c>
      <c r="W160" s="1565" t="s">
        <v>854</v>
      </c>
      <c r="X160" s="1565">
        <v>0</v>
      </c>
      <c r="Y160" s="1565">
        <v>0.71799999999999997</v>
      </c>
      <c r="Z160" s="1565">
        <v>0.71799999999999997</v>
      </c>
      <c r="AA160" s="1565">
        <v>1.34</v>
      </c>
      <c r="AB160" s="1565">
        <v>1.34</v>
      </c>
      <c r="AC160" s="1418">
        <v>0</v>
      </c>
      <c r="AD160" s="1418">
        <v>-156.399</v>
      </c>
      <c r="AE160" s="1418">
        <v>-156.399</v>
      </c>
      <c r="AF160" s="1418" t="s">
        <v>205</v>
      </c>
      <c r="AG160" s="1418">
        <v>0.27</v>
      </c>
      <c r="AH160" s="1418">
        <v>3.59</v>
      </c>
      <c r="AI160" s="1382" t="s">
        <v>205</v>
      </c>
      <c r="AJ160" s="1382" t="s">
        <v>205</v>
      </c>
      <c r="AK160" s="1382" t="s">
        <v>205</v>
      </c>
      <c r="AL160" s="1382" t="s">
        <v>205</v>
      </c>
      <c r="AM160" s="1382" t="s">
        <v>205</v>
      </c>
      <c r="AN160" s="1382" t="s">
        <v>205</v>
      </c>
      <c r="AO160" s="1382" t="s">
        <v>205</v>
      </c>
      <c r="AP160" s="1382" t="s">
        <v>205</v>
      </c>
      <c r="AQ160" s="1382" t="s">
        <v>205</v>
      </c>
      <c r="AR160" s="1382" t="s">
        <v>205</v>
      </c>
      <c r="AS160" s="1382" t="s">
        <v>205</v>
      </c>
      <c r="AT160" s="1382" t="s">
        <v>205</v>
      </c>
      <c r="AU160" s="1382" t="s">
        <v>205</v>
      </c>
      <c r="AV160" s="1382" t="s">
        <v>205</v>
      </c>
      <c r="AW160" s="1382"/>
      <c r="AX160" s="1382"/>
      <c r="AY160" s="1382"/>
      <c r="AZ160" s="1382"/>
    </row>
    <row r="161" spans="2:52" ht="45.5" hidden="1" thickBot="1" x14ac:dyDescent="0.6">
      <c r="B161" s="1590" t="s">
        <v>1210</v>
      </c>
      <c r="C161" s="1414"/>
      <c r="D161" s="1391"/>
      <c r="E161" s="1392"/>
      <c r="F161" s="1388" t="s">
        <v>1214</v>
      </c>
      <c r="G161" s="1472"/>
      <c r="H161" s="1377"/>
      <c r="I161" s="1377"/>
      <c r="J161" s="1377"/>
      <c r="K161" s="1377"/>
      <c r="L161" s="1377"/>
      <c r="M161" s="1517"/>
      <c r="N161" s="1377"/>
      <c r="O161" s="1377"/>
      <c r="P161" s="1377"/>
      <c r="Q161" s="1377"/>
      <c r="R161" s="1388"/>
      <c r="S161" s="1388"/>
      <c r="T161" s="1388"/>
      <c r="U161" s="1388"/>
      <c r="V161" s="1388"/>
      <c r="W161" s="1388"/>
      <c r="X161" s="1388"/>
      <c r="Y161" s="1388"/>
      <c r="Z161" s="1388"/>
      <c r="AA161" s="1388"/>
      <c r="AB161" s="1390"/>
      <c r="AC161" s="1388"/>
      <c r="AD161" s="1388"/>
      <c r="AE161" s="1388"/>
      <c r="AF161" s="1388"/>
      <c r="AG161" s="1388"/>
      <c r="AH161" s="1388"/>
      <c r="AI161" s="1388"/>
      <c r="AJ161" s="1388"/>
      <c r="AK161" s="1388"/>
      <c r="AL161" s="1388"/>
      <c r="AM161" s="1388"/>
      <c r="AN161" s="1388"/>
      <c r="AO161" s="1388"/>
      <c r="AP161" s="1388"/>
      <c r="AQ161" s="1388"/>
      <c r="AR161" s="1388"/>
      <c r="AS161" s="1388"/>
      <c r="AT161" s="1388"/>
      <c r="AU161" s="1388"/>
      <c r="AV161" s="1388"/>
      <c r="AW161" s="1388"/>
      <c r="AX161" s="1391"/>
      <c r="AY161" s="1388"/>
      <c r="AZ161" s="1591"/>
    </row>
    <row r="162" spans="2:52" ht="45.5" hidden="1" thickBot="1" x14ac:dyDescent="0.6">
      <c r="B162" s="1590" t="s">
        <v>1210</v>
      </c>
      <c r="C162" s="1414"/>
      <c r="D162" s="1391"/>
      <c r="E162" s="1415"/>
      <c r="F162" s="1388" t="s">
        <v>1214</v>
      </c>
      <c r="G162" s="1472"/>
      <c r="H162" s="1377"/>
      <c r="I162" s="1377"/>
      <c r="J162" s="1377"/>
      <c r="K162" s="1377"/>
      <c r="L162" s="1377"/>
      <c r="M162" s="1384"/>
      <c r="N162" s="1377"/>
      <c r="O162" s="1377"/>
      <c r="P162" s="1377"/>
      <c r="Q162" s="1377"/>
      <c r="R162" s="1388"/>
      <c r="S162" s="1388"/>
      <c r="T162" s="1388"/>
      <c r="U162" s="1388"/>
      <c r="V162" s="1388"/>
      <c r="W162" s="1388"/>
      <c r="X162" s="1388"/>
      <c r="Y162" s="1388"/>
      <c r="Z162" s="1388"/>
      <c r="AA162" s="1388"/>
      <c r="AB162" s="1390"/>
      <c r="AC162" s="1388"/>
      <c r="AD162" s="1388"/>
      <c r="AE162" s="1388"/>
      <c r="AF162" s="1388"/>
      <c r="AG162" s="1388"/>
      <c r="AH162" s="1388"/>
      <c r="AI162" s="1388"/>
      <c r="AJ162" s="1388"/>
      <c r="AK162" s="1388"/>
      <c r="AL162" s="1388"/>
      <c r="AM162" s="1388"/>
      <c r="AN162" s="1388"/>
      <c r="AO162" s="1388"/>
      <c r="AP162" s="1388"/>
      <c r="AQ162" s="1388"/>
      <c r="AR162" s="1388"/>
      <c r="AS162" s="1388"/>
      <c r="AT162" s="1388"/>
      <c r="AU162" s="1388"/>
      <c r="AV162" s="1388"/>
      <c r="AW162" s="1388"/>
      <c r="AX162" s="1391"/>
      <c r="AY162" s="1388"/>
      <c r="AZ162" s="1591"/>
    </row>
    <row r="163" spans="2:52" ht="45.5" hidden="1" thickBot="1" x14ac:dyDescent="0.6">
      <c r="B163" s="1590" t="s">
        <v>1210</v>
      </c>
      <c r="C163" s="1414"/>
      <c r="D163" s="1391"/>
      <c r="E163" s="1415"/>
      <c r="F163" s="1388" t="s">
        <v>1088</v>
      </c>
      <c r="G163" s="1472"/>
      <c r="H163" s="1377"/>
      <c r="I163" s="1377"/>
      <c r="J163" s="1377"/>
      <c r="K163" s="1377"/>
      <c r="L163" s="1377"/>
      <c r="M163" s="1384"/>
      <c r="N163" s="1377"/>
      <c r="O163" s="1377"/>
      <c r="P163" s="1377"/>
      <c r="Q163" s="1377"/>
      <c r="R163" s="1388"/>
      <c r="S163" s="1388"/>
      <c r="T163" s="1388"/>
      <c r="U163" s="1388"/>
      <c r="V163" s="1388"/>
      <c r="W163" s="1388"/>
      <c r="X163" s="1388"/>
      <c r="Y163" s="1388"/>
      <c r="Z163" s="1388"/>
      <c r="AA163" s="1388"/>
      <c r="AB163" s="1390"/>
      <c r="AC163" s="1388"/>
      <c r="AD163" s="1388"/>
      <c r="AE163" s="1388"/>
      <c r="AF163" s="1388"/>
      <c r="AG163" s="1388"/>
      <c r="AH163" s="1388"/>
      <c r="AI163" s="1388"/>
      <c r="AJ163" s="1388"/>
      <c r="AK163" s="1388"/>
      <c r="AL163" s="1388"/>
      <c r="AM163" s="1388"/>
      <c r="AN163" s="1388"/>
      <c r="AO163" s="1388"/>
      <c r="AP163" s="1388"/>
      <c r="AQ163" s="1388"/>
      <c r="AR163" s="1388"/>
      <c r="AS163" s="1388"/>
      <c r="AT163" s="1388"/>
      <c r="AU163" s="1388"/>
      <c r="AV163" s="1388"/>
      <c r="AW163" s="1388"/>
      <c r="AX163" s="1391"/>
      <c r="AY163" s="1388"/>
      <c r="AZ163" s="1591"/>
    </row>
    <row r="164" spans="2:52" ht="45.5" hidden="1" thickBot="1" x14ac:dyDescent="0.6">
      <c r="B164" s="1590" t="s">
        <v>1210</v>
      </c>
      <c r="C164" s="1414"/>
      <c r="D164" s="1391"/>
      <c r="E164" s="1415"/>
      <c r="F164" s="1388" t="s">
        <v>1088</v>
      </c>
      <c r="G164" s="1472"/>
      <c r="H164" s="1377"/>
      <c r="I164" s="1377"/>
      <c r="J164" s="1377"/>
      <c r="K164" s="1377"/>
      <c r="L164" s="1377"/>
      <c r="M164" s="1384"/>
      <c r="N164" s="1377"/>
      <c r="O164" s="1377"/>
      <c r="P164" s="1377"/>
      <c r="Q164" s="1377"/>
      <c r="R164" s="1388"/>
      <c r="S164" s="1388"/>
      <c r="T164" s="1388"/>
      <c r="U164" s="1388"/>
      <c r="V164" s="1388"/>
      <c r="W164" s="1388"/>
      <c r="X164" s="1388"/>
      <c r="Y164" s="1388"/>
      <c r="Z164" s="1388"/>
      <c r="AA164" s="1388"/>
      <c r="AB164" s="1390"/>
      <c r="AC164" s="1388"/>
      <c r="AD164" s="1388"/>
      <c r="AE164" s="1388"/>
      <c r="AF164" s="1388"/>
      <c r="AG164" s="1388"/>
      <c r="AH164" s="1388"/>
      <c r="AI164" s="1388"/>
      <c r="AJ164" s="1388"/>
      <c r="AK164" s="1388"/>
      <c r="AL164" s="1388"/>
      <c r="AM164" s="1388"/>
      <c r="AN164" s="1388"/>
      <c r="AO164" s="1388"/>
      <c r="AP164" s="1388"/>
      <c r="AQ164" s="1388"/>
      <c r="AR164" s="1388"/>
      <c r="AS164" s="1388"/>
      <c r="AT164" s="1388"/>
      <c r="AU164" s="1388"/>
      <c r="AV164" s="1388"/>
      <c r="AW164" s="1388"/>
      <c r="AX164" s="1391"/>
      <c r="AY164" s="1388"/>
      <c r="AZ164" s="1591"/>
    </row>
    <row r="165" spans="2:52" ht="45.5" hidden="1" thickBot="1" x14ac:dyDescent="0.6">
      <c r="B165" s="1590" t="s">
        <v>1210</v>
      </c>
      <c r="C165" s="1414"/>
      <c r="D165" s="1391"/>
      <c r="E165" s="1415"/>
      <c r="F165" s="1388" t="s">
        <v>1088</v>
      </c>
      <c r="G165" s="1472"/>
      <c r="H165" s="1377"/>
      <c r="I165" s="1377"/>
      <c r="J165" s="1377"/>
      <c r="K165" s="1377"/>
      <c r="L165" s="1377"/>
      <c r="M165" s="1384"/>
      <c r="N165" s="1377"/>
      <c r="O165" s="1377"/>
      <c r="P165" s="1377"/>
      <c r="Q165" s="1377"/>
      <c r="R165" s="1388"/>
      <c r="S165" s="1388"/>
      <c r="T165" s="1388"/>
      <c r="U165" s="1388"/>
      <c r="V165" s="1388"/>
      <c r="W165" s="1388"/>
      <c r="X165" s="1388"/>
      <c r="Y165" s="1388"/>
      <c r="Z165" s="1388"/>
      <c r="AA165" s="1388"/>
      <c r="AB165" s="1390"/>
      <c r="AC165" s="1388"/>
      <c r="AD165" s="1388"/>
      <c r="AE165" s="1388"/>
      <c r="AF165" s="1388"/>
      <c r="AG165" s="1388"/>
      <c r="AH165" s="1388"/>
      <c r="AI165" s="1388"/>
      <c r="AJ165" s="1388"/>
      <c r="AK165" s="1388"/>
      <c r="AL165" s="1388"/>
      <c r="AM165" s="1388"/>
      <c r="AN165" s="1388"/>
      <c r="AO165" s="1388"/>
      <c r="AP165" s="1388"/>
      <c r="AQ165" s="1388"/>
      <c r="AR165" s="1388"/>
      <c r="AS165" s="1388"/>
      <c r="AT165" s="1388"/>
      <c r="AU165" s="1388"/>
      <c r="AV165" s="1388"/>
      <c r="AW165" s="1388"/>
      <c r="AX165" s="1391"/>
      <c r="AY165" s="1388"/>
      <c r="AZ165" s="1591"/>
    </row>
    <row r="166" spans="2:52" ht="45.5" hidden="1" thickBot="1" x14ac:dyDescent="0.6">
      <c r="B166" s="1590" t="s">
        <v>1210</v>
      </c>
      <c r="C166" s="1414"/>
      <c r="D166" s="1391"/>
      <c r="E166" s="1415"/>
      <c r="F166" s="1388" t="s">
        <v>1088</v>
      </c>
      <c r="G166" s="1472"/>
      <c r="H166" s="1377"/>
      <c r="I166" s="1377"/>
      <c r="J166" s="1377"/>
      <c r="K166" s="1377"/>
      <c r="L166" s="1377"/>
      <c r="M166" s="1384"/>
      <c r="N166" s="1377"/>
      <c r="O166" s="1377"/>
      <c r="P166" s="1377"/>
      <c r="Q166" s="1377"/>
      <c r="R166" s="1388"/>
      <c r="S166" s="1388"/>
      <c r="T166" s="1388"/>
      <c r="U166" s="1388"/>
      <c r="V166" s="1388"/>
      <c r="W166" s="1388"/>
      <c r="X166" s="1388"/>
      <c r="Y166" s="1388"/>
      <c r="Z166" s="1388"/>
      <c r="AA166" s="1388"/>
      <c r="AB166" s="1390"/>
      <c r="AC166" s="1388"/>
      <c r="AD166" s="1388"/>
      <c r="AE166" s="1388"/>
      <c r="AF166" s="1388"/>
      <c r="AG166" s="1388"/>
      <c r="AH166" s="1388"/>
      <c r="AI166" s="1388"/>
      <c r="AJ166" s="1388"/>
      <c r="AK166" s="1388"/>
      <c r="AL166" s="1388"/>
      <c r="AM166" s="1388"/>
      <c r="AN166" s="1388"/>
      <c r="AO166" s="1388"/>
      <c r="AP166" s="1388"/>
      <c r="AQ166" s="1388"/>
      <c r="AR166" s="1388"/>
      <c r="AS166" s="1388"/>
      <c r="AT166" s="1388"/>
      <c r="AU166" s="1388"/>
      <c r="AV166" s="1388"/>
      <c r="AW166" s="1388"/>
      <c r="AX166" s="1391"/>
      <c r="AY166" s="1388"/>
      <c r="AZ166" s="1591"/>
    </row>
    <row r="167" spans="2:52" ht="45.5" hidden="1" thickBot="1" x14ac:dyDescent="0.6">
      <c r="B167" s="1590" t="s">
        <v>1210</v>
      </c>
      <c r="C167" s="1414"/>
      <c r="D167" s="1391"/>
      <c r="E167" s="1415"/>
      <c r="F167" s="1388" t="s">
        <v>1088</v>
      </c>
      <c r="G167" s="1472"/>
      <c r="H167" s="1377"/>
      <c r="I167" s="1377"/>
      <c r="J167" s="1377"/>
      <c r="K167" s="1377"/>
      <c r="L167" s="1377"/>
      <c r="M167" s="1384"/>
      <c r="N167" s="1377"/>
      <c r="O167" s="1377"/>
      <c r="P167" s="1377"/>
      <c r="Q167" s="1377"/>
      <c r="R167" s="1388"/>
      <c r="S167" s="1388"/>
      <c r="T167" s="1388"/>
      <c r="U167" s="1388"/>
      <c r="V167" s="1388"/>
      <c r="W167" s="1388"/>
      <c r="X167" s="1388"/>
      <c r="Y167" s="1388"/>
      <c r="Z167" s="1388"/>
      <c r="AA167" s="1388"/>
      <c r="AB167" s="1390"/>
      <c r="AC167" s="1388"/>
      <c r="AD167" s="1388"/>
      <c r="AE167" s="1388"/>
      <c r="AF167" s="1388"/>
      <c r="AG167" s="1388"/>
      <c r="AH167" s="1388"/>
      <c r="AI167" s="1388"/>
      <c r="AJ167" s="1388"/>
      <c r="AK167" s="1388"/>
      <c r="AL167" s="1388"/>
      <c r="AM167" s="1388"/>
      <c r="AN167" s="1388"/>
      <c r="AO167" s="1388"/>
      <c r="AP167" s="1388"/>
      <c r="AQ167" s="1388"/>
      <c r="AR167" s="1388"/>
      <c r="AS167" s="1388"/>
      <c r="AT167" s="1388"/>
      <c r="AU167" s="1388"/>
      <c r="AV167" s="1388"/>
      <c r="AW167" s="1388"/>
      <c r="AX167" s="1391"/>
      <c r="AY167" s="1388"/>
      <c r="AZ167" s="1591"/>
    </row>
    <row r="168" spans="2:52" ht="45.5" hidden="1" thickBot="1" x14ac:dyDescent="0.6">
      <c r="B168" s="1592" t="s">
        <v>1210</v>
      </c>
      <c r="C168" s="1485"/>
      <c r="D168" s="1486"/>
      <c r="E168" s="1487"/>
      <c r="F168" s="1390" t="s">
        <v>1088</v>
      </c>
      <c r="G168" s="1368"/>
      <c r="H168" s="1493"/>
      <c r="I168" s="1493"/>
      <c r="J168" s="1493"/>
      <c r="K168" s="1493"/>
      <c r="L168" s="1493"/>
      <c r="M168" s="1515"/>
      <c r="N168" s="1493"/>
      <c r="O168" s="1493"/>
      <c r="P168" s="1493"/>
      <c r="Q168" s="1493"/>
      <c r="R168" s="1390"/>
      <c r="S168" s="1390"/>
      <c r="T168" s="1390"/>
      <c r="U168" s="1390"/>
      <c r="V168" s="1390"/>
      <c r="W168" s="1390"/>
      <c r="X168" s="1390"/>
      <c r="Y168" s="1390"/>
      <c r="Z168" s="1390"/>
      <c r="AA168" s="1390"/>
      <c r="AB168" s="1390"/>
      <c r="AC168" s="1390"/>
      <c r="AD168" s="1390"/>
      <c r="AE168" s="1390"/>
      <c r="AF168" s="1390"/>
      <c r="AG168" s="1390"/>
      <c r="AH168" s="1390"/>
      <c r="AI168" s="1390"/>
      <c r="AJ168" s="1390"/>
      <c r="AK168" s="1390"/>
      <c r="AL168" s="1390"/>
      <c r="AM168" s="1390"/>
      <c r="AN168" s="1390"/>
      <c r="AO168" s="1390"/>
      <c r="AP168" s="1390"/>
      <c r="AQ168" s="1390"/>
      <c r="AR168" s="1390"/>
      <c r="AS168" s="1390"/>
      <c r="AT168" s="1390"/>
      <c r="AU168" s="1390"/>
      <c r="AV168" s="1390"/>
      <c r="AW168" s="1390"/>
      <c r="AX168" s="1486"/>
      <c r="AY168" s="1390"/>
      <c r="AZ168" s="1593"/>
    </row>
    <row r="169" spans="2:52" ht="68" thickBot="1" x14ac:dyDescent="0.6">
      <c r="B169" s="1571" t="s">
        <v>1220</v>
      </c>
      <c r="C169" s="1572" t="s">
        <v>2130</v>
      </c>
      <c r="D169" s="1573" t="s">
        <v>2131</v>
      </c>
      <c r="E169" s="1574" t="s">
        <v>1255</v>
      </c>
      <c r="F169" s="1575" t="s">
        <v>1214</v>
      </c>
      <c r="G169" s="1576" t="s">
        <v>850</v>
      </c>
      <c r="H169" s="1577" t="s">
        <v>1066</v>
      </c>
      <c r="I169" s="1577" t="s">
        <v>852</v>
      </c>
      <c r="J169" s="1577"/>
      <c r="K169" s="1577"/>
      <c r="L169" s="1377" t="s">
        <v>852</v>
      </c>
      <c r="M169" s="1377" t="s">
        <v>852</v>
      </c>
      <c r="N169" s="1377" t="s">
        <v>852</v>
      </c>
      <c r="O169" s="1377" t="s">
        <v>852</v>
      </c>
      <c r="P169" s="1377" t="s">
        <v>852</v>
      </c>
      <c r="Q169" s="1377" t="s">
        <v>852</v>
      </c>
      <c r="R169" s="1532" t="s">
        <v>2170</v>
      </c>
      <c r="S169" s="1388" t="s">
        <v>854</v>
      </c>
      <c r="T169" s="1388" t="s">
        <v>854</v>
      </c>
      <c r="U169" s="1597">
        <v>0.5</v>
      </c>
      <c r="V169" s="1417">
        <v>0</v>
      </c>
      <c r="W169" s="1597" t="s">
        <v>854</v>
      </c>
      <c r="X169" s="1597">
        <v>0</v>
      </c>
      <c r="Y169" s="1597">
        <v>0.17799999999999999</v>
      </c>
      <c r="Z169" s="1597">
        <v>0.17799999999999999</v>
      </c>
      <c r="AA169" s="1597">
        <v>0.5</v>
      </c>
      <c r="AB169" s="1597">
        <v>0.5</v>
      </c>
      <c r="AC169" s="1598">
        <v>0</v>
      </c>
      <c r="AD169" s="1598">
        <v>-58.357999999999997</v>
      </c>
      <c r="AE169" s="1598">
        <v>-58.357999999999997</v>
      </c>
      <c r="AF169" s="1598" t="s">
        <v>205</v>
      </c>
      <c r="AG169" s="1598">
        <v>0.18</v>
      </c>
      <c r="AH169" s="1598">
        <v>0.89</v>
      </c>
      <c r="AI169" s="1382" t="s">
        <v>205</v>
      </c>
      <c r="AJ169" s="1382" t="s">
        <v>205</v>
      </c>
      <c r="AK169" s="1382" t="s">
        <v>205</v>
      </c>
      <c r="AL169" s="1382" t="s">
        <v>205</v>
      </c>
      <c r="AM169" s="1382" t="s">
        <v>205</v>
      </c>
      <c r="AN169" s="1382" t="s">
        <v>205</v>
      </c>
      <c r="AO169" s="1382" t="s">
        <v>205</v>
      </c>
      <c r="AP169" s="1382" t="s">
        <v>205</v>
      </c>
      <c r="AQ169" s="1382" t="s">
        <v>205</v>
      </c>
      <c r="AR169" s="1382" t="s">
        <v>205</v>
      </c>
      <c r="AS169" s="1382" t="s">
        <v>205</v>
      </c>
      <c r="AT169" s="1382" t="s">
        <v>205</v>
      </c>
      <c r="AU169" s="1382" t="s">
        <v>205</v>
      </c>
      <c r="AV169" s="1382" t="s">
        <v>205</v>
      </c>
      <c r="AW169" s="1382"/>
      <c r="AX169" s="1382"/>
      <c r="AY169" s="1382"/>
      <c r="AZ169" s="1382"/>
    </row>
    <row r="170" spans="2:52" ht="47" x14ac:dyDescent="0.55000000000000004">
      <c r="B170" s="1567" t="s">
        <v>1220</v>
      </c>
      <c r="C170" s="1382" t="s">
        <v>1270</v>
      </c>
      <c r="D170" s="1382" t="s">
        <v>1271</v>
      </c>
      <c r="E170" s="1389" t="s">
        <v>1255</v>
      </c>
      <c r="F170" s="1387" t="s">
        <v>1214</v>
      </c>
      <c r="G170" s="1379" t="s">
        <v>850</v>
      </c>
      <c r="H170" s="1377" t="s">
        <v>1066</v>
      </c>
      <c r="I170" s="1384" t="s">
        <v>852</v>
      </c>
      <c r="J170" s="1384"/>
      <c r="K170" s="1384"/>
      <c r="L170" s="1377" t="s">
        <v>852</v>
      </c>
      <c r="M170" s="1377" t="s">
        <v>852</v>
      </c>
      <c r="N170" s="1377" t="s">
        <v>852</v>
      </c>
      <c r="O170" s="1377" t="s">
        <v>852</v>
      </c>
      <c r="P170" s="1377" t="s">
        <v>852</v>
      </c>
      <c r="Q170" s="1377" t="s">
        <v>852</v>
      </c>
      <c r="R170" s="1377" t="s">
        <v>2167</v>
      </c>
      <c r="S170" s="1381" t="s">
        <v>854</v>
      </c>
      <c r="T170" s="1381" t="s">
        <v>854</v>
      </c>
      <c r="U170" s="1418">
        <v>0.5</v>
      </c>
      <c r="V170" s="1418">
        <v>0</v>
      </c>
      <c r="W170" s="1417" t="s">
        <v>854</v>
      </c>
      <c r="X170" s="1418">
        <v>0</v>
      </c>
      <c r="Y170" s="1418">
        <v>0.32200000000000001</v>
      </c>
      <c r="Z170" s="1418">
        <v>0.32200000000000001</v>
      </c>
      <c r="AA170" s="1418">
        <v>0.05</v>
      </c>
      <c r="AB170" s="1418">
        <v>0.05</v>
      </c>
      <c r="AC170" s="1418">
        <v>0</v>
      </c>
      <c r="AD170" s="1418">
        <v>-5.8360000000000003</v>
      </c>
      <c r="AE170" s="1418">
        <v>-5.8360000000000003</v>
      </c>
      <c r="AF170" s="1418" t="s">
        <v>205</v>
      </c>
      <c r="AG170" s="1418">
        <v>0.03</v>
      </c>
      <c r="AH170" s="1418">
        <v>1.61</v>
      </c>
      <c r="AI170" s="1382" t="s">
        <v>205</v>
      </c>
      <c r="AJ170" s="1382" t="s">
        <v>205</v>
      </c>
      <c r="AK170" s="1382" t="s">
        <v>205</v>
      </c>
      <c r="AL170" s="1382" t="s">
        <v>205</v>
      </c>
      <c r="AM170" s="1382" t="s">
        <v>205</v>
      </c>
      <c r="AN170" s="1382" t="s">
        <v>205</v>
      </c>
      <c r="AO170" s="1382" t="s">
        <v>205</v>
      </c>
      <c r="AP170" s="1382" t="s">
        <v>205</v>
      </c>
      <c r="AQ170" s="1382" t="s">
        <v>205</v>
      </c>
      <c r="AR170" s="1382" t="s">
        <v>205</v>
      </c>
      <c r="AS170" s="1382" t="s">
        <v>205</v>
      </c>
      <c r="AT170" s="1382" t="s">
        <v>205</v>
      </c>
      <c r="AU170" s="1382" t="s">
        <v>205</v>
      </c>
      <c r="AV170" s="1382" t="s">
        <v>205</v>
      </c>
      <c r="AW170" s="1382"/>
      <c r="AX170" s="1382"/>
      <c r="AY170" s="1382"/>
      <c r="AZ170" s="1561"/>
    </row>
    <row r="171" spans="2:52" ht="68.5" x14ac:dyDescent="0.55000000000000004">
      <c r="B171" s="1567" t="s">
        <v>1210</v>
      </c>
      <c r="C171" s="1384" t="s">
        <v>2132</v>
      </c>
      <c r="D171" s="1483" t="s">
        <v>2133</v>
      </c>
      <c r="E171" s="1415" t="s">
        <v>1255</v>
      </c>
      <c r="F171" s="1512" t="s">
        <v>1214</v>
      </c>
      <c r="G171" s="1379" t="s">
        <v>850</v>
      </c>
      <c r="H171" s="1377" t="s">
        <v>851</v>
      </c>
      <c r="I171" s="1377" t="s">
        <v>852</v>
      </c>
      <c r="J171" s="1377"/>
      <c r="K171" s="1377"/>
      <c r="L171" s="1384" t="s">
        <v>853</v>
      </c>
      <c r="M171" s="1384" t="s">
        <v>853</v>
      </c>
      <c r="N171" s="1377" t="s">
        <v>853</v>
      </c>
      <c r="O171" s="1377" t="s">
        <v>853</v>
      </c>
      <c r="P171" s="1377" t="s">
        <v>853</v>
      </c>
      <c r="Q171" s="1377" t="s">
        <v>853</v>
      </c>
      <c r="R171" s="1377" t="s">
        <v>854</v>
      </c>
      <c r="S171" s="1388" t="s">
        <v>854</v>
      </c>
      <c r="T171" s="1388" t="s">
        <v>854</v>
      </c>
      <c r="U171" s="1417">
        <v>1.21</v>
      </c>
      <c r="V171" s="1417">
        <v>0</v>
      </c>
      <c r="W171" s="1417" t="s">
        <v>227</v>
      </c>
      <c r="X171" s="1417">
        <v>0</v>
      </c>
      <c r="Y171" s="1418">
        <v>0.28399999999999997</v>
      </c>
      <c r="Z171" s="1418">
        <v>9.1499999999999998E-2</v>
      </c>
      <c r="AA171" s="1417">
        <v>2.73</v>
      </c>
      <c r="AB171" s="1417">
        <v>2.73</v>
      </c>
      <c r="AC171" s="1418">
        <v>0</v>
      </c>
      <c r="AD171" s="1418">
        <v>-141.26599999999999</v>
      </c>
      <c r="AE171" s="1418">
        <v>-141.26599999999999</v>
      </c>
      <c r="AF171" s="1418" t="s">
        <v>205</v>
      </c>
      <c r="AG171" s="1418">
        <v>0.15</v>
      </c>
      <c r="AH171" s="1418">
        <v>1.83</v>
      </c>
      <c r="AI171" s="1382" t="s">
        <v>205</v>
      </c>
      <c r="AJ171" s="1382" t="s">
        <v>205</v>
      </c>
      <c r="AK171" s="1382" t="s">
        <v>205</v>
      </c>
      <c r="AL171" s="1382" t="s">
        <v>205</v>
      </c>
      <c r="AM171" s="1382" t="s">
        <v>205</v>
      </c>
      <c r="AN171" s="1382" t="s">
        <v>205</v>
      </c>
      <c r="AO171" s="1382" t="s">
        <v>205</v>
      </c>
      <c r="AP171" s="1382" t="s">
        <v>205</v>
      </c>
      <c r="AQ171" s="1382" t="s">
        <v>205</v>
      </c>
      <c r="AR171" s="1382" t="s">
        <v>205</v>
      </c>
      <c r="AS171" s="1382" t="s">
        <v>205</v>
      </c>
      <c r="AT171" s="1382" t="s">
        <v>205</v>
      </c>
      <c r="AU171" s="1382" t="s">
        <v>205</v>
      </c>
      <c r="AV171" s="1382" t="s">
        <v>205</v>
      </c>
      <c r="AW171" s="1382"/>
      <c r="AX171" s="1382"/>
      <c r="AY171" s="1382"/>
      <c r="AZ171" s="1382"/>
    </row>
    <row r="172" spans="2:52" ht="112.5" x14ac:dyDescent="0.55000000000000004">
      <c r="B172" s="1567" t="s">
        <v>2116</v>
      </c>
      <c r="C172" s="1382" t="s">
        <v>1272</v>
      </c>
      <c r="D172" s="1382" t="s">
        <v>1273</v>
      </c>
      <c r="E172" s="1389" t="s">
        <v>1274</v>
      </c>
      <c r="F172" s="1393" t="s">
        <v>1088</v>
      </c>
      <c r="G172" s="1379" t="s">
        <v>850</v>
      </c>
      <c r="H172" s="1377" t="s">
        <v>1066</v>
      </c>
      <c r="I172" s="1377" t="s">
        <v>852</v>
      </c>
      <c r="J172" s="1377"/>
      <c r="K172" s="1377"/>
      <c r="L172" s="1377" t="s">
        <v>852</v>
      </c>
      <c r="M172" s="1377" t="s">
        <v>852</v>
      </c>
      <c r="N172" s="1377" t="s">
        <v>852</v>
      </c>
      <c r="O172" s="1377" t="s">
        <v>852</v>
      </c>
      <c r="P172" s="1377" t="s">
        <v>852</v>
      </c>
      <c r="Q172" s="1377" t="s">
        <v>852</v>
      </c>
      <c r="R172" s="1377" t="s">
        <v>2168</v>
      </c>
      <c r="S172" s="1381" t="s">
        <v>854</v>
      </c>
      <c r="T172" s="1381" t="s">
        <v>854</v>
      </c>
      <c r="U172" s="1417">
        <v>4.7</v>
      </c>
      <c r="V172" s="1417">
        <v>0</v>
      </c>
      <c r="W172" s="1417" t="s">
        <v>854</v>
      </c>
      <c r="X172" s="1417">
        <v>0</v>
      </c>
      <c r="Y172" s="1418">
        <v>0</v>
      </c>
      <c r="Z172" s="1418">
        <v>0</v>
      </c>
      <c r="AA172" s="1417">
        <v>4.7</v>
      </c>
      <c r="AB172" s="1417">
        <v>4.7</v>
      </c>
      <c r="AC172" s="1418">
        <v>0</v>
      </c>
      <c r="AD172" s="1418">
        <v>-548.56500000000005</v>
      </c>
      <c r="AE172" s="1418">
        <v>-548.56500000000005</v>
      </c>
      <c r="AF172" s="1418" t="s">
        <v>205</v>
      </c>
      <c r="AG172" s="1418">
        <v>0</v>
      </c>
      <c r="AH172" s="1418">
        <v>0</v>
      </c>
      <c r="AI172" s="1382" t="s">
        <v>205</v>
      </c>
      <c r="AJ172" s="1382" t="s">
        <v>205</v>
      </c>
      <c r="AK172" s="1382" t="s">
        <v>205</v>
      </c>
      <c r="AL172" s="1382" t="s">
        <v>205</v>
      </c>
      <c r="AM172" s="1382" t="s">
        <v>205</v>
      </c>
      <c r="AN172" s="1382" t="s">
        <v>205</v>
      </c>
      <c r="AO172" s="1382" t="s">
        <v>205</v>
      </c>
      <c r="AP172" s="1382" t="s">
        <v>205</v>
      </c>
      <c r="AQ172" s="1382" t="s">
        <v>205</v>
      </c>
      <c r="AR172" s="1382" t="s">
        <v>205</v>
      </c>
      <c r="AS172" s="1382" t="s">
        <v>205</v>
      </c>
      <c r="AT172" s="1382" t="s">
        <v>205</v>
      </c>
      <c r="AU172" s="1382" t="s">
        <v>205</v>
      </c>
      <c r="AV172" s="1382" t="s">
        <v>205</v>
      </c>
      <c r="AW172" s="1382"/>
      <c r="AX172" s="1382"/>
      <c r="AY172" s="1382"/>
      <c r="AZ172" s="1382"/>
    </row>
    <row r="173" spans="2:52" ht="67.5" x14ac:dyDescent="0.55000000000000004">
      <c r="B173" s="1567" t="s">
        <v>1247</v>
      </c>
      <c r="C173" s="1382" t="s">
        <v>2134</v>
      </c>
      <c r="D173" s="1382" t="s">
        <v>2135</v>
      </c>
      <c r="E173" s="1389" t="s">
        <v>1274</v>
      </c>
      <c r="F173" s="1393" t="s">
        <v>1088</v>
      </c>
      <c r="G173" s="1379" t="s">
        <v>850</v>
      </c>
      <c r="H173" s="1377" t="s">
        <v>851</v>
      </c>
      <c r="I173" s="1377" t="s">
        <v>852</v>
      </c>
      <c r="J173" s="1377"/>
      <c r="K173" s="1377"/>
      <c r="L173" s="1384" t="s">
        <v>853</v>
      </c>
      <c r="M173" s="1384" t="s">
        <v>853</v>
      </c>
      <c r="N173" s="1377" t="s">
        <v>853</v>
      </c>
      <c r="O173" s="1377" t="s">
        <v>853</v>
      </c>
      <c r="P173" s="1377" t="s">
        <v>853</v>
      </c>
      <c r="Q173" s="1377" t="s">
        <v>853</v>
      </c>
      <c r="R173" s="1377" t="s">
        <v>854</v>
      </c>
      <c r="S173" s="1388" t="s">
        <v>854</v>
      </c>
      <c r="T173" s="1388" t="s">
        <v>854</v>
      </c>
      <c r="U173" s="1417">
        <v>4.7</v>
      </c>
      <c r="V173" s="1417">
        <v>0</v>
      </c>
      <c r="W173" s="1417" t="s">
        <v>227</v>
      </c>
      <c r="X173" s="1417">
        <v>0</v>
      </c>
      <c r="Y173" s="1418">
        <v>0</v>
      </c>
      <c r="Z173" s="1418">
        <v>0</v>
      </c>
      <c r="AA173" s="1417">
        <v>4.7</v>
      </c>
      <c r="AB173" s="1417">
        <v>4.7</v>
      </c>
      <c r="AC173" s="1418">
        <v>0</v>
      </c>
      <c r="AD173" s="1418">
        <v>-548.56500000000005</v>
      </c>
      <c r="AE173" s="1418">
        <v>-548.56500000000005</v>
      </c>
      <c r="AF173" s="1418" t="s">
        <v>205</v>
      </c>
      <c r="AG173" s="1418">
        <v>0</v>
      </c>
      <c r="AH173" s="1418">
        <v>0</v>
      </c>
      <c r="AI173" s="1382" t="s">
        <v>205</v>
      </c>
      <c r="AJ173" s="1382" t="s">
        <v>205</v>
      </c>
      <c r="AK173" s="1382" t="s">
        <v>205</v>
      </c>
      <c r="AL173" s="1382" t="s">
        <v>205</v>
      </c>
      <c r="AM173" s="1382" t="s">
        <v>205</v>
      </c>
      <c r="AN173" s="1382" t="s">
        <v>205</v>
      </c>
      <c r="AO173" s="1382" t="s">
        <v>205</v>
      </c>
      <c r="AP173" s="1382" t="s">
        <v>205</v>
      </c>
      <c r="AQ173" s="1382" t="s">
        <v>205</v>
      </c>
      <c r="AR173" s="1382" t="s">
        <v>205</v>
      </c>
      <c r="AS173" s="1382" t="s">
        <v>205</v>
      </c>
      <c r="AT173" s="1382" t="s">
        <v>205</v>
      </c>
      <c r="AU173" s="1382" t="s">
        <v>205</v>
      </c>
      <c r="AV173" s="1382" t="s">
        <v>205</v>
      </c>
      <c r="AW173" s="1382"/>
      <c r="AX173" s="1382"/>
      <c r="AY173" s="1382"/>
      <c r="AZ173" s="1382"/>
    </row>
    <row r="174" spans="2:52" ht="47" x14ac:dyDescent="0.55000000000000004">
      <c r="B174" s="1567" t="s">
        <v>2116</v>
      </c>
      <c r="C174" s="1384" t="s">
        <v>2136</v>
      </c>
      <c r="D174" s="1483" t="s">
        <v>2137</v>
      </c>
      <c r="E174" s="1415" t="s">
        <v>1786</v>
      </c>
      <c r="F174" s="1393" t="s">
        <v>1088</v>
      </c>
      <c r="G174" s="1379" t="s">
        <v>850</v>
      </c>
      <c r="H174" s="1377" t="s">
        <v>1066</v>
      </c>
      <c r="I174" s="1377" t="s">
        <v>852</v>
      </c>
      <c r="J174" s="1377"/>
      <c r="K174" s="1377"/>
      <c r="L174" s="1377" t="s">
        <v>852</v>
      </c>
      <c r="M174" s="1377" t="s">
        <v>852</v>
      </c>
      <c r="N174" s="1377" t="s">
        <v>852</v>
      </c>
      <c r="O174" s="1377" t="s">
        <v>852</v>
      </c>
      <c r="P174" s="1377" t="s">
        <v>852</v>
      </c>
      <c r="Q174" s="1377" t="s">
        <v>852</v>
      </c>
      <c r="R174" s="1377" t="s">
        <v>2169</v>
      </c>
      <c r="S174" s="1388" t="s">
        <v>854</v>
      </c>
      <c r="T174" s="1388" t="s">
        <v>854</v>
      </c>
      <c r="U174" s="1595">
        <v>0.06</v>
      </c>
      <c r="V174" s="1417">
        <v>0</v>
      </c>
      <c r="W174" s="1417" t="s">
        <v>854</v>
      </c>
      <c r="X174" s="1417">
        <v>0</v>
      </c>
      <c r="Y174" s="1418">
        <v>0.15479999999999999</v>
      </c>
      <c r="Z174" s="1418">
        <v>0.15479999999999999</v>
      </c>
      <c r="AA174" s="1595">
        <v>0.06</v>
      </c>
      <c r="AB174" s="1595">
        <v>0.06</v>
      </c>
      <c r="AC174" s="1418">
        <v>0</v>
      </c>
      <c r="AD174" s="1418">
        <v>-7.0030000000000001</v>
      </c>
      <c r="AE174" s="1418">
        <v>-7.0030000000000001</v>
      </c>
      <c r="AF174" s="1418" t="s">
        <v>205</v>
      </c>
      <c r="AG174" s="1418">
        <v>1.28</v>
      </c>
      <c r="AH174" s="1595">
        <v>0.77400000000000002</v>
      </c>
      <c r="AI174" s="1382" t="s">
        <v>205</v>
      </c>
      <c r="AJ174" s="1382" t="s">
        <v>205</v>
      </c>
      <c r="AK174" s="1382" t="s">
        <v>205</v>
      </c>
      <c r="AL174" s="1382" t="s">
        <v>205</v>
      </c>
      <c r="AM174" s="1382" t="s">
        <v>205</v>
      </c>
      <c r="AN174" s="1382" t="s">
        <v>205</v>
      </c>
      <c r="AO174" s="1382" t="s">
        <v>205</v>
      </c>
      <c r="AP174" s="1382" t="s">
        <v>205</v>
      </c>
      <c r="AQ174" s="1382" t="s">
        <v>205</v>
      </c>
      <c r="AR174" s="1382" t="s">
        <v>205</v>
      </c>
      <c r="AS174" s="1382" t="s">
        <v>205</v>
      </c>
      <c r="AT174" s="1382" t="s">
        <v>205</v>
      </c>
      <c r="AU174" s="1382" t="s">
        <v>205</v>
      </c>
      <c r="AV174" s="1382" t="s">
        <v>205</v>
      </c>
      <c r="AW174" s="1382"/>
      <c r="AX174" s="1382"/>
      <c r="AY174" s="1382"/>
      <c r="AZ174" s="1382"/>
    </row>
    <row r="175" spans="2:52" ht="91" x14ac:dyDescent="0.55000000000000004">
      <c r="B175" s="1567" t="s">
        <v>2116</v>
      </c>
      <c r="C175" s="1384" t="s">
        <v>2138</v>
      </c>
      <c r="D175" s="1483" t="s">
        <v>2139</v>
      </c>
      <c r="E175" s="1415" t="s">
        <v>1786</v>
      </c>
      <c r="F175" s="1393" t="s">
        <v>1088</v>
      </c>
      <c r="G175" s="1379" t="s">
        <v>850</v>
      </c>
      <c r="H175" s="1377" t="s">
        <v>1066</v>
      </c>
      <c r="I175" s="1377" t="s">
        <v>853</v>
      </c>
      <c r="J175" s="1377"/>
      <c r="K175" s="1377"/>
      <c r="L175" s="1377" t="s">
        <v>852</v>
      </c>
      <c r="M175" s="1377" t="s">
        <v>852</v>
      </c>
      <c r="N175" s="1377" t="s">
        <v>852</v>
      </c>
      <c r="O175" s="1377" t="s">
        <v>852</v>
      </c>
      <c r="P175" s="1377" t="s">
        <v>852</v>
      </c>
      <c r="Q175" s="1377" t="s">
        <v>852</v>
      </c>
      <c r="R175" s="1377" t="s">
        <v>2169</v>
      </c>
      <c r="S175" s="1388" t="s">
        <v>854</v>
      </c>
      <c r="T175" s="1388" t="s">
        <v>854</v>
      </c>
      <c r="U175" s="1595">
        <v>1.1200000000000001</v>
      </c>
      <c r="V175" s="1417">
        <v>0</v>
      </c>
      <c r="W175" s="1417" t="s">
        <v>854</v>
      </c>
      <c r="X175" s="1417">
        <v>0</v>
      </c>
      <c r="Y175" s="1418">
        <v>2.75</v>
      </c>
      <c r="Z175" s="1418">
        <v>2.75</v>
      </c>
      <c r="AA175" s="1595">
        <v>1.1200000000000001</v>
      </c>
      <c r="AB175" s="1595">
        <v>1.1200000000000001</v>
      </c>
      <c r="AC175" s="1418">
        <v>0</v>
      </c>
      <c r="AD175" s="1418">
        <v>-130.72200000000001</v>
      </c>
      <c r="AE175" s="1418">
        <v>-130.72200000000001</v>
      </c>
      <c r="AF175" s="1418" t="s">
        <v>205</v>
      </c>
      <c r="AG175" s="1418">
        <v>1.23</v>
      </c>
      <c r="AH175" s="1595">
        <v>13.766</v>
      </c>
      <c r="AI175" s="1382" t="s">
        <v>205</v>
      </c>
      <c r="AJ175" s="1382" t="s">
        <v>205</v>
      </c>
      <c r="AK175" s="1382" t="s">
        <v>205</v>
      </c>
      <c r="AL175" s="1382" t="s">
        <v>205</v>
      </c>
      <c r="AM175" s="1382" t="s">
        <v>205</v>
      </c>
      <c r="AN175" s="1382" t="s">
        <v>205</v>
      </c>
      <c r="AO175" s="1382" t="s">
        <v>205</v>
      </c>
      <c r="AP175" s="1382" t="s">
        <v>205</v>
      </c>
      <c r="AQ175" s="1382" t="s">
        <v>205</v>
      </c>
      <c r="AR175" s="1382" t="s">
        <v>205</v>
      </c>
      <c r="AS175" s="1382" t="s">
        <v>205</v>
      </c>
      <c r="AT175" s="1382" t="s">
        <v>205</v>
      </c>
      <c r="AU175" s="1382" t="s">
        <v>205</v>
      </c>
      <c r="AV175" s="1382" t="s">
        <v>205</v>
      </c>
      <c r="AW175" s="1382"/>
      <c r="AX175" s="1382"/>
      <c r="AY175" s="1382"/>
      <c r="AZ175" s="1382"/>
    </row>
    <row r="176" spans="2:52" ht="94" x14ac:dyDescent="0.55000000000000004">
      <c r="B176" s="1567" t="s">
        <v>2116</v>
      </c>
      <c r="C176" s="1384" t="s">
        <v>2140</v>
      </c>
      <c r="D176" s="1482" t="s">
        <v>2141</v>
      </c>
      <c r="E176" s="1415" t="s">
        <v>1827</v>
      </c>
      <c r="F176" s="1393" t="s">
        <v>1088</v>
      </c>
      <c r="G176" s="1379" t="s">
        <v>850</v>
      </c>
      <c r="H176" s="1377" t="s">
        <v>1066</v>
      </c>
      <c r="I176" s="1377" t="s">
        <v>852</v>
      </c>
      <c r="J176" s="1377"/>
      <c r="K176" s="1377"/>
      <c r="L176" s="1377" t="s">
        <v>852</v>
      </c>
      <c r="M176" s="1377" t="s">
        <v>852</v>
      </c>
      <c r="N176" s="1377" t="s">
        <v>852</v>
      </c>
      <c r="O176" s="1377" t="s">
        <v>852</v>
      </c>
      <c r="P176" s="1377" t="s">
        <v>852</v>
      </c>
      <c r="Q176" s="1377" t="s">
        <v>852</v>
      </c>
      <c r="R176" s="1377" t="s">
        <v>2169</v>
      </c>
      <c r="S176" s="1388" t="s">
        <v>854</v>
      </c>
      <c r="T176" s="1388" t="s">
        <v>854</v>
      </c>
      <c r="U176" s="1595">
        <v>0.18</v>
      </c>
      <c r="V176" s="1417">
        <v>0</v>
      </c>
      <c r="W176" s="1599" t="s">
        <v>854</v>
      </c>
      <c r="X176" s="1417">
        <v>0</v>
      </c>
      <c r="Y176" s="1418">
        <v>0.216</v>
      </c>
      <c r="Z176" s="1418">
        <v>0.216</v>
      </c>
      <c r="AA176" s="1595">
        <v>0.18</v>
      </c>
      <c r="AB176" s="1595">
        <v>0.18</v>
      </c>
      <c r="AC176" s="1418">
        <v>0</v>
      </c>
      <c r="AD176" s="1418">
        <v>-21.009</v>
      </c>
      <c r="AE176" s="1418">
        <v>-21.009</v>
      </c>
      <c r="AF176" s="1418" t="s">
        <v>205</v>
      </c>
      <c r="AG176" s="1418">
        <v>0.6</v>
      </c>
      <c r="AH176" s="1595">
        <v>1.08</v>
      </c>
      <c r="AI176" s="1382" t="s">
        <v>205</v>
      </c>
      <c r="AJ176" s="1382" t="s">
        <v>205</v>
      </c>
      <c r="AK176" s="1382" t="s">
        <v>205</v>
      </c>
      <c r="AL176" s="1382" t="s">
        <v>205</v>
      </c>
      <c r="AM176" s="1382" t="s">
        <v>205</v>
      </c>
      <c r="AN176" s="1382" t="s">
        <v>205</v>
      </c>
      <c r="AO176" s="1382" t="s">
        <v>205</v>
      </c>
      <c r="AP176" s="1382" t="s">
        <v>205</v>
      </c>
      <c r="AQ176" s="1382" t="s">
        <v>205</v>
      </c>
      <c r="AR176" s="1382" t="s">
        <v>205</v>
      </c>
      <c r="AS176" s="1382" t="s">
        <v>205</v>
      </c>
      <c r="AT176" s="1382" t="s">
        <v>205</v>
      </c>
      <c r="AU176" s="1382" t="s">
        <v>205</v>
      </c>
      <c r="AV176" s="1382" t="s">
        <v>205</v>
      </c>
      <c r="AW176" s="1382"/>
      <c r="AX176" s="1382"/>
      <c r="AY176" s="1382"/>
      <c r="AZ176" s="1382"/>
    </row>
    <row r="177" spans="2:52" ht="47" x14ac:dyDescent="0.55000000000000004">
      <c r="B177" s="1567" t="s">
        <v>2116</v>
      </c>
      <c r="C177" s="1384" t="s">
        <v>2142</v>
      </c>
      <c r="D177" s="1483" t="s">
        <v>2143</v>
      </c>
      <c r="E177" s="1415" t="s">
        <v>1274</v>
      </c>
      <c r="F177" s="1393" t="s">
        <v>1088</v>
      </c>
      <c r="G177" s="1379" t="s">
        <v>850</v>
      </c>
      <c r="H177" s="1377" t="s">
        <v>1066</v>
      </c>
      <c r="I177" s="1377" t="s">
        <v>852</v>
      </c>
      <c r="J177" s="1377"/>
      <c r="K177" s="1377"/>
      <c r="L177" s="1377" t="s">
        <v>852</v>
      </c>
      <c r="M177" s="1377" t="s">
        <v>852</v>
      </c>
      <c r="N177" s="1377" t="s">
        <v>852</v>
      </c>
      <c r="O177" s="1377" t="s">
        <v>852</v>
      </c>
      <c r="P177" s="1377" t="s">
        <v>852</v>
      </c>
      <c r="Q177" s="1377" t="s">
        <v>852</v>
      </c>
      <c r="R177" s="1377" t="s">
        <v>2169</v>
      </c>
      <c r="S177" s="1388" t="s">
        <v>854</v>
      </c>
      <c r="T177" s="1388" t="s">
        <v>854</v>
      </c>
      <c r="U177" s="1595">
        <v>0.08</v>
      </c>
      <c r="V177" s="1417">
        <v>0</v>
      </c>
      <c r="W177" s="1417" t="s">
        <v>854</v>
      </c>
      <c r="X177" s="1417">
        <v>0</v>
      </c>
      <c r="Y177" s="1418">
        <v>4.4400000000000002E-2</v>
      </c>
      <c r="Z177" s="1418">
        <v>4.4400000000000002E-2</v>
      </c>
      <c r="AA177" s="1595">
        <v>0.08</v>
      </c>
      <c r="AB177" s="1595">
        <v>0.08</v>
      </c>
      <c r="AC177" s="1418">
        <v>0</v>
      </c>
      <c r="AD177" s="1418">
        <v>-9.3369999999999997</v>
      </c>
      <c r="AE177" s="1418">
        <v>-9.3369999999999997</v>
      </c>
      <c r="AF177" s="1418" t="s">
        <v>205</v>
      </c>
      <c r="AG177" s="1418">
        <v>0.28000000000000003</v>
      </c>
      <c r="AH177" s="1595">
        <v>0.222</v>
      </c>
      <c r="AI177" s="1382" t="s">
        <v>205</v>
      </c>
      <c r="AJ177" s="1382" t="s">
        <v>205</v>
      </c>
      <c r="AK177" s="1382" t="s">
        <v>205</v>
      </c>
      <c r="AL177" s="1382" t="s">
        <v>205</v>
      </c>
      <c r="AM177" s="1382" t="s">
        <v>205</v>
      </c>
      <c r="AN177" s="1382" t="s">
        <v>205</v>
      </c>
      <c r="AO177" s="1382" t="s">
        <v>205</v>
      </c>
      <c r="AP177" s="1382" t="s">
        <v>205</v>
      </c>
      <c r="AQ177" s="1382" t="s">
        <v>205</v>
      </c>
      <c r="AR177" s="1382" t="s">
        <v>205</v>
      </c>
      <c r="AS177" s="1382" t="s">
        <v>205</v>
      </c>
      <c r="AT177" s="1382" t="s">
        <v>205</v>
      </c>
      <c r="AU177" s="1382" t="s">
        <v>205</v>
      </c>
      <c r="AV177" s="1382" t="s">
        <v>205</v>
      </c>
      <c r="AW177" s="1382"/>
      <c r="AX177" s="1382"/>
      <c r="AY177" s="1382"/>
      <c r="AZ177" s="1382"/>
    </row>
    <row r="178" spans="2:52" ht="70.5" x14ac:dyDescent="0.55000000000000004">
      <c r="B178" s="1567" t="s">
        <v>2116</v>
      </c>
      <c r="C178" s="1384" t="s">
        <v>2144</v>
      </c>
      <c r="D178" s="1483" t="s">
        <v>2145</v>
      </c>
      <c r="E178" s="1415" t="s">
        <v>1817</v>
      </c>
      <c r="F178" s="1393" t="s">
        <v>1088</v>
      </c>
      <c r="G178" s="1379" t="s">
        <v>850</v>
      </c>
      <c r="H178" s="1377" t="s">
        <v>1066</v>
      </c>
      <c r="I178" s="1377" t="s">
        <v>852</v>
      </c>
      <c r="J178" s="1377"/>
      <c r="K178" s="1377"/>
      <c r="L178" s="1377" t="s">
        <v>852</v>
      </c>
      <c r="M178" s="1377" t="s">
        <v>852</v>
      </c>
      <c r="N178" s="1377" t="s">
        <v>852</v>
      </c>
      <c r="O178" s="1377" t="s">
        <v>852</v>
      </c>
      <c r="P178" s="1377" t="s">
        <v>852</v>
      </c>
      <c r="Q178" s="1377" t="s">
        <v>852</v>
      </c>
      <c r="R178" s="1377" t="s">
        <v>2169</v>
      </c>
      <c r="S178" s="1388" t="s">
        <v>854</v>
      </c>
      <c r="T178" s="1388" t="s">
        <v>854</v>
      </c>
      <c r="U178" s="1595">
        <v>0</v>
      </c>
      <c r="V178" s="1417">
        <v>0</v>
      </c>
      <c r="W178" s="1417" t="s">
        <v>854</v>
      </c>
      <c r="X178" s="1417">
        <v>0</v>
      </c>
      <c r="Y178" s="1418">
        <v>0</v>
      </c>
      <c r="Z178" s="1418">
        <v>0</v>
      </c>
      <c r="AA178" s="1595">
        <v>0</v>
      </c>
      <c r="AB178" s="1595">
        <v>0</v>
      </c>
      <c r="AC178" s="1418">
        <v>0</v>
      </c>
      <c r="AD178" s="1418">
        <v>0</v>
      </c>
      <c r="AE178" s="1418">
        <v>0</v>
      </c>
      <c r="AF178" s="1418" t="s">
        <v>205</v>
      </c>
      <c r="AG178" s="1418">
        <v>0</v>
      </c>
      <c r="AH178" s="1595">
        <v>0</v>
      </c>
      <c r="AI178" s="1382" t="s">
        <v>205</v>
      </c>
      <c r="AJ178" s="1382" t="s">
        <v>205</v>
      </c>
      <c r="AK178" s="1382" t="s">
        <v>205</v>
      </c>
      <c r="AL178" s="1382" t="s">
        <v>205</v>
      </c>
      <c r="AM178" s="1382" t="s">
        <v>205</v>
      </c>
      <c r="AN178" s="1382" t="s">
        <v>205</v>
      </c>
      <c r="AO178" s="1382" t="s">
        <v>205</v>
      </c>
      <c r="AP178" s="1382" t="s">
        <v>205</v>
      </c>
      <c r="AQ178" s="1382" t="s">
        <v>205</v>
      </c>
      <c r="AR178" s="1382" t="s">
        <v>205</v>
      </c>
      <c r="AS178" s="1382" t="s">
        <v>205</v>
      </c>
      <c r="AT178" s="1382" t="s">
        <v>205</v>
      </c>
      <c r="AU178" s="1382" t="s">
        <v>205</v>
      </c>
      <c r="AV178" s="1382" t="s">
        <v>205</v>
      </c>
      <c r="AW178" s="1382"/>
      <c r="AX178" s="1382"/>
      <c r="AY178" s="1382"/>
      <c r="AZ178" s="1382"/>
    </row>
    <row r="179" spans="2:52" ht="112.5" x14ac:dyDescent="0.35">
      <c r="B179" s="1567" t="s">
        <v>1247</v>
      </c>
      <c r="C179" s="1414" t="s">
        <v>1275</v>
      </c>
      <c r="D179" s="1388" t="s">
        <v>1276</v>
      </c>
      <c r="E179" s="1491" t="s">
        <v>1277</v>
      </c>
      <c r="F179" s="1393" t="s">
        <v>1088</v>
      </c>
      <c r="G179" s="1379" t="s">
        <v>850</v>
      </c>
      <c r="H179" s="1377" t="s">
        <v>851</v>
      </c>
      <c r="I179" s="1377" t="s">
        <v>852</v>
      </c>
      <c r="J179" s="1377"/>
      <c r="K179" s="1377"/>
      <c r="L179" s="1384" t="s">
        <v>853</v>
      </c>
      <c r="M179" s="1384" t="s">
        <v>853</v>
      </c>
      <c r="N179" s="1377" t="s">
        <v>853</v>
      </c>
      <c r="O179" s="1377" t="s">
        <v>853</v>
      </c>
      <c r="P179" s="1377" t="s">
        <v>853</v>
      </c>
      <c r="Q179" s="1377" t="s">
        <v>853</v>
      </c>
      <c r="R179" s="1377" t="s">
        <v>854</v>
      </c>
      <c r="S179" s="1381" t="s">
        <v>854</v>
      </c>
      <c r="T179" s="1381" t="s">
        <v>854</v>
      </c>
      <c r="U179" s="1417">
        <v>1.35</v>
      </c>
      <c r="V179" s="1417">
        <v>0</v>
      </c>
      <c r="W179" s="1417" t="s">
        <v>227</v>
      </c>
      <c r="X179" s="1417">
        <v>0</v>
      </c>
      <c r="Y179" s="1418">
        <v>0.82</v>
      </c>
      <c r="Z179" s="1418">
        <v>0.2024</v>
      </c>
      <c r="AA179" s="1417">
        <v>1.35</v>
      </c>
      <c r="AB179" s="1417">
        <v>1.35</v>
      </c>
      <c r="AC179" s="1418">
        <v>0</v>
      </c>
      <c r="AD179" s="1418">
        <v>-157.56700000000001</v>
      </c>
      <c r="AE179" s="1418">
        <v>-157.56700000000001</v>
      </c>
      <c r="AF179" s="1418" t="s">
        <v>205</v>
      </c>
      <c r="AG179" s="1418">
        <v>0.37</v>
      </c>
      <c r="AH179" s="1418">
        <v>5.0599999999999996</v>
      </c>
      <c r="AI179" s="1382" t="s">
        <v>205</v>
      </c>
      <c r="AJ179" s="1382" t="s">
        <v>205</v>
      </c>
      <c r="AK179" s="1382" t="s">
        <v>205</v>
      </c>
      <c r="AL179" s="1382" t="s">
        <v>205</v>
      </c>
      <c r="AM179" s="1382" t="s">
        <v>205</v>
      </c>
      <c r="AN179" s="1382" t="s">
        <v>205</v>
      </c>
      <c r="AO179" s="1382" t="s">
        <v>205</v>
      </c>
      <c r="AP179" s="1382" t="s">
        <v>205</v>
      </c>
      <c r="AQ179" s="1382" t="s">
        <v>205</v>
      </c>
      <c r="AR179" s="1382" t="s">
        <v>205</v>
      </c>
      <c r="AS179" s="1382" t="s">
        <v>205</v>
      </c>
      <c r="AT179" s="1382" t="s">
        <v>205</v>
      </c>
      <c r="AU179" s="1382" t="s">
        <v>205</v>
      </c>
      <c r="AV179" s="1382" t="s">
        <v>205</v>
      </c>
      <c r="AW179" s="1382"/>
      <c r="AX179" s="1382"/>
      <c r="AY179" s="1382"/>
      <c r="AZ179" s="1382"/>
    </row>
    <row r="180" spans="2:52" ht="67.5" x14ac:dyDescent="0.55000000000000004">
      <c r="B180" s="1567" t="s">
        <v>2116</v>
      </c>
      <c r="C180" s="1382" t="s">
        <v>1278</v>
      </c>
      <c r="D180" s="1388" t="s">
        <v>1279</v>
      </c>
      <c r="E180" s="1392" t="s">
        <v>1277</v>
      </c>
      <c r="F180" s="1393" t="s">
        <v>1088</v>
      </c>
      <c r="G180" s="1379" t="s">
        <v>850</v>
      </c>
      <c r="H180" s="1377" t="s">
        <v>1066</v>
      </c>
      <c r="I180" s="1377" t="s">
        <v>852</v>
      </c>
      <c r="J180" s="1377"/>
      <c r="K180" s="1377"/>
      <c r="L180" s="1377" t="s">
        <v>852</v>
      </c>
      <c r="M180" s="1377" t="s">
        <v>852</v>
      </c>
      <c r="N180" s="1377" t="s">
        <v>852</v>
      </c>
      <c r="O180" s="1377" t="s">
        <v>852</v>
      </c>
      <c r="P180" s="1377" t="s">
        <v>852</v>
      </c>
      <c r="Q180" s="1377" t="s">
        <v>852</v>
      </c>
      <c r="R180" s="1377" t="s">
        <v>854</v>
      </c>
      <c r="S180" s="1381" t="s">
        <v>854</v>
      </c>
      <c r="T180" s="1381" t="s">
        <v>854</v>
      </c>
      <c r="U180" s="1595">
        <v>0.18</v>
      </c>
      <c r="V180" s="1417">
        <v>0</v>
      </c>
      <c r="W180" s="1417" t="s">
        <v>854</v>
      </c>
      <c r="X180" s="1417">
        <v>0</v>
      </c>
      <c r="Y180" s="1418">
        <v>0.16400000000000001</v>
      </c>
      <c r="Z180" s="1418">
        <v>0.16400000000000001</v>
      </c>
      <c r="AA180" s="1595">
        <v>0.18</v>
      </c>
      <c r="AB180" s="1595">
        <v>0.18</v>
      </c>
      <c r="AC180" s="1418">
        <v>0</v>
      </c>
      <c r="AD180" s="1418">
        <v>-21.009</v>
      </c>
      <c r="AE180" s="1418">
        <v>-21.009</v>
      </c>
      <c r="AF180" s="1418" t="s">
        <v>205</v>
      </c>
      <c r="AG180" s="1418">
        <v>0.46</v>
      </c>
      <c r="AH180" s="1595">
        <v>0.82</v>
      </c>
      <c r="AI180" s="1382" t="s">
        <v>205</v>
      </c>
      <c r="AJ180" s="1382" t="s">
        <v>205</v>
      </c>
      <c r="AK180" s="1382" t="s">
        <v>205</v>
      </c>
      <c r="AL180" s="1382" t="s">
        <v>205</v>
      </c>
      <c r="AM180" s="1382" t="s">
        <v>205</v>
      </c>
      <c r="AN180" s="1382" t="s">
        <v>205</v>
      </c>
      <c r="AO180" s="1382" t="s">
        <v>205</v>
      </c>
      <c r="AP180" s="1382" t="s">
        <v>205</v>
      </c>
      <c r="AQ180" s="1382" t="s">
        <v>205</v>
      </c>
      <c r="AR180" s="1382" t="s">
        <v>205</v>
      </c>
      <c r="AS180" s="1382" t="s">
        <v>205</v>
      </c>
      <c r="AT180" s="1382" t="s">
        <v>205</v>
      </c>
      <c r="AU180" s="1382" t="s">
        <v>205</v>
      </c>
      <c r="AV180" s="1382" t="s">
        <v>205</v>
      </c>
      <c r="AW180" s="1382"/>
      <c r="AX180" s="1382"/>
      <c r="AY180" s="1382"/>
      <c r="AZ180" s="1382"/>
    </row>
    <row r="181" spans="2:52" ht="46" x14ac:dyDescent="0.55000000000000004">
      <c r="B181" s="1567" t="s">
        <v>1247</v>
      </c>
      <c r="C181" s="1382" t="s">
        <v>1280</v>
      </c>
      <c r="D181" s="1388" t="s">
        <v>1281</v>
      </c>
      <c r="E181" s="1392" t="s">
        <v>1282</v>
      </c>
      <c r="F181" s="1494" t="s">
        <v>1088</v>
      </c>
      <c r="G181" s="1498" t="s">
        <v>850</v>
      </c>
      <c r="H181" s="1493" t="s">
        <v>851</v>
      </c>
      <c r="I181" s="1493" t="s">
        <v>852</v>
      </c>
      <c r="J181" s="1493"/>
      <c r="K181" s="1493" t="s">
        <v>1267</v>
      </c>
      <c r="L181" s="1384" t="s">
        <v>853</v>
      </c>
      <c r="M181" s="1608" t="s">
        <v>853</v>
      </c>
      <c r="N181" s="1377" t="s">
        <v>853</v>
      </c>
      <c r="O181" s="1377" t="s">
        <v>853</v>
      </c>
      <c r="P181" s="1377" t="s">
        <v>853</v>
      </c>
      <c r="Q181" s="1377" t="s">
        <v>853</v>
      </c>
      <c r="R181" s="1384" t="s">
        <v>854</v>
      </c>
      <c r="S181" s="1594" t="s">
        <v>854</v>
      </c>
      <c r="T181" s="1594" t="s">
        <v>854</v>
      </c>
      <c r="U181" s="1418">
        <v>0.98</v>
      </c>
      <c r="V181" s="1418">
        <v>0</v>
      </c>
      <c r="W181" s="1600" t="s">
        <v>232</v>
      </c>
      <c r="X181" s="1600">
        <v>0</v>
      </c>
      <c r="Y181" s="1418">
        <v>2.8000000000000001E-2</v>
      </c>
      <c r="Z181" s="1418">
        <v>1.8499999999999999E-2</v>
      </c>
      <c r="AA181" s="1418">
        <v>0.98</v>
      </c>
      <c r="AB181" s="1601">
        <v>0.98</v>
      </c>
      <c r="AC181" s="1418">
        <v>0</v>
      </c>
      <c r="AD181" s="1418">
        <v>-114.38200000000001</v>
      </c>
      <c r="AE181" s="1418">
        <v>-114.38200000000001</v>
      </c>
      <c r="AF181" s="1418" t="s">
        <v>205</v>
      </c>
      <c r="AG181" s="1418">
        <v>3.7999999999999999E-2</v>
      </c>
      <c r="AH181" s="1418">
        <v>0.37</v>
      </c>
      <c r="AI181" s="1382" t="s">
        <v>205</v>
      </c>
      <c r="AJ181" s="1382" t="s">
        <v>205</v>
      </c>
      <c r="AK181" s="1382" t="s">
        <v>205</v>
      </c>
      <c r="AL181" s="1382" t="s">
        <v>205</v>
      </c>
      <c r="AM181" s="1382" t="s">
        <v>205</v>
      </c>
      <c r="AN181" s="1382" t="s">
        <v>205</v>
      </c>
      <c r="AO181" s="1382" t="s">
        <v>205</v>
      </c>
      <c r="AP181" s="1382" t="s">
        <v>205</v>
      </c>
      <c r="AQ181" s="1382" t="s">
        <v>205</v>
      </c>
      <c r="AR181" s="1382" t="s">
        <v>205</v>
      </c>
      <c r="AS181" s="1382" t="s">
        <v>205</v>
      </c>
      <c r="AT181" s="1382" t="s">
        <v>205</v>
      </c>
      <c r="AU181" s="1382" t="s">
        <v>205</v>
      </c>
      <c r="AV181" s="1382" t="s">
        <v>205</v>
      </c>
      <c r="AW181" s="1382"/>
      <c r="AX181" s="1382"/>
      <c r="AY181" s="1382"/>
      <c r="AZ181" s="1382"/>
    </row>
    <row r="182" spans="2:52" ht="67.5" x14ac:dyDescent="0.45">
      <c r="B182" s="1578" t="s">
        <v>2116</v>
      </c>
      <c r="C182" s="1384" t="s">
        <v>2146</v>
      </c>
      <c r="D182" s="1496" t="s">
        <v>2147</v>
      </c>
      <c r="E182" s="1386" t="s">
        <v>1277</v>
      </c>
      <c r="F182" s="1497" t="s">
        <v>1088</v>
      </c>
      <c r="G182" s="1579" t="s">
        <v>850</v>
      </c>
      <c r="H182" s="1501" t="s">
        <v>1066</v>
      </c>
      <c r="I182" s="1501" t="s">
        <v>852</v>
      </c>
      <c r="J182" s="1501"/>
      <c r="K182" s="1501"/>
      <c r="L182" s="1377" t="s">
        <v>852</v>
      </c>
      <c r="M182" s="1377" t="s">
        <v>852</v>
      </c>
      <c r="N182" s="1377" t="s">
        <v>852</v>
      </c>
      <c r="O182" s="1377" t="s">
        <v>852</v>
      </c>
      <c r="P182" s="1377" t="s">
        <v>852</v>
      </c>
      <c r="Q182" s="1377" t="s">
        <v>852</v>
      </c>
      <c r="R182" s="1384" t="s">
        <v>2169</v>
      </c>
      <c r="S182" s="1388" t="s">
        <v>854</v>
      </c>
      <c r="T182" s="1388" t="s">
        <v>854</v>
      </c>
      <c r="U182" s="1595">
        <v>0.37</v>
      </c>
      <c r="V182" s="1417">
        <v>0</v>
      </c>
      <c r="W182" s="1599" t="s">
        <v>854</v>
      </c>
      <c r="X182" s="1599">
        <v>0</v>
      </c>
      <c r="Y182" s="1599">
        <v>0.13519999999999999</v>
      </c>
      <c r="Z182" s="1599">
        <v>0.13519999999999999</v>
      </c>
      <c r="AA182" s="1595">
        <v>0.37</v>
      </c>
      <c r="AB182" s="1595">
        <v>0.37</v>
      </c>
      <c r="AC182" s="1599">
        <v>0</v>
      </c>
      <c r="AD182" s="1599">
        <v>-43.185000000000002</v>
      </c>
      <c r="AE182" s="1599">
        <v>-43.185000000000002</v>
      </c>
      <c r="AF182" s="1418" t="s">
        <v>205</v>
      </c>
      <c r="AG182" s="1599">
        <v>0.18</v>
      </c>
      <c r="AH182" s="1595">
        <v>0.67600000000000005</v>
      </c>
      <c r="AI182" s="1382" t="s">
        <v>205</v>
      </c>
      <c r="AJ182" s="1382" t="s">
        <v>205</v>
      </c>
      <c r="AK182" s="1382" t="s">
        <v>205</v>
      </c>
      <c r="AL182" s="1382" t="s">
        <v>205</v>
      </c>
      <c r="AM182" s="1382" t="s">
        <v>205</v>
      </c>
      <c r="AN182" s="1382" t="s">
        <v>205</v>
      </c>
      <c r="AO182" s="1382" t="s">
        <v>205</v>
      </c>
      <c r="AP182" s="1382" t="s">
        <v>205</v>
      </c>
      <c r="AQ182" s="1382" t="s">
        <v>205</v>
      </c>
      <c r="AR182" s="1382" t="s">
        <v>205</v>
      </c>
      <c r="AS182" s="1382" t="s">
        <v>205</v>
      </c>
      <c r="AT182" s="1382" t="s">
        <v>205</v>
      </c>
      <c r="AU182" s="1382" t="s">
        <v>205</v>
      </c>
      <c r="AV182" s="1382" t="s">
        <v>205</v>
      </c>
      <c r="AW182" s="1382"/>
      <c r="AX182" s="1382"/>
      <c r="AY182" s="1382"/>
      <c r="AZ182" s="1382"/>
    </row>
    <row r="183" spans="2:52" ht="90" x14ac:dyDescent="0.45">
      <c r="B183" s="1578" t="s">
        <v>2116</v>
      </c>
      <c r="C183" s="1479" t="s">
        <v>2148</v>
      </c>
      <c r="D183" s="1496" t="s">
        <v>2149</v>
      </c>
      <c r="E183" s="1386" t="s">
        <v>1277</v>
      </c>
      <c r="F183" s="1497" t="s">
        <v>1088</v>
      </c>
      <c r="G183" s="1579" t="s">
        <v>850</v>
      </c>
      <c r="H183" s="1501" t="s">
        <v>1066</v>
      </c>
      <c r="I183" s="1501" t="s">
        <v>852</v>
      </c>
      <c r="J183" s="1501"/>
      <c r="K183" s="1501"/>
      <c r="L183" s="1377" t="s">
        <v>852</v>
      </c>
      <c r="M183" s="1377" t="s">
        <v>852</v>
      </c>
      <c r="N183" s="1377" t="s">
        <v>852</v>
      </c>
      <c r="O183" s="1377" t="s">
        <v>852</v>
      </c>
      <c r="P183" s="1377" t="s">
        <v>852</v>
      </c>
      <c r="Q183" s="1377" t="s">
        <v>852</v>
      </c>
      <c r="R183" s="1384" t="s">
        <v>2169</v>
      </c>
      <c r="S183" s="1388" t="s">
        <v>854</v>
      </c>
      <c r="T183" s="1388" t="s">
        <v>854</v>
      </c>
      <c r="U183" s="1595">
        <v>0.37</v>
      </c>
      <c r="V183" s="1417">
        <v>0</v>
      </c>
      <c r="W183" s="1599" t="s">
        <v>854</v>
      </c>
      <c r="X183" s="1599">
        <v>0</v>
      </c>
      <c r="Y183" s="1599">
        <v>0.16919999999999999</v>
      </c>
      <c r="Z183" s="1599">
        <v>0.16919999999999999</v>
      </c>
      <c r="AA183" s="1595">
        <v>0.37</v>
      </c>
      <c r="AB183" s="1595">
        <v>0.37</v>
      </c>
      <c r="AC183" s="1599">
        <v>0</v>
      </c>
      <c r="AD183" s="1599">
        <v>-43.185000000000002</v>
      </c>
      <c r="AE183" s="1599">
        <v>-43.185000000000002</v>
      </c>
      <c r="AF183" s="1418" t="s">
        <v>205</v>
      </c>
      <c r="AG183" s="1599">
        <v>0.2</v>
      </c>
      <c r="AH183" s="1595">
        <v>0.84599999999999997</v>
      </c>
      <c r="AI183" s="1382" t="s">
        <v>205</v>
      </c>
      <c r="AJ183" s="1382" t="s">
        <v>205</v>
      </c>
      <c r="AK183" s="1382" t="s">
        <v>205</v>
      </c>
      <c r="AL183" s="1382" t="s">
        <v>205</v>
      </c>
      <c r="AM183" s="1382" t="s">
        <v>205</v>
      </c>
      <c r="AN183" s="1382" t="s">
        <v>205</v>
      </c>
      <c r="AO183" s="1382" t="s">
        <v>205</v>
      </c>
      <c r="AP183" s="1382" t="s">
        <v>205</v>
      </c>
      <c r="AQ183" s="1382" t="s">
        <v>205</v>
      </c>
      <c r="AR183" s="1382" t="s">
        <v>205</v>
      </c>
      <c r="AS183" s="1382" t="s">
        <v>205</v>
      </c>
      <c r="AT183" s="1382" t="s">
        <v>205</v>
      </c>
      <c r="AU183" s="1382" t="s">
        <v>205</v>
      </c>
      <c r="AV183" s="1382" t="s">
        <v>205</v>
      </c>
      <c r="AW183" s="1382"/>
      <c r="AX183" s="1382"/>
      <c r="AY183" s="1382"/>
      <c r="AZ183" s="1382"/>
    </row>
    <row r="184" spans="2:52" ht="68.5" x14ac:dyDescent="0.55000000000000004">
      <c r="B184" s="1567" t="s">
        <v>2116</v>
      </c>
      <c r="C184" s="1384" t="s">
        <v>2150</v>
      </c>
      <c r="D184" s="1483" t="s">
        <v>2151</v>
      </c>
      <c r="E184" s="1415" t="s">
        <v>1274</v>
      </c>
      <c r="F184" s="1393" t="s">
        <v>1088</v>
      </c>
      <c r="G184" s="1379" t="s">
        <v>850</v>
      </c>
      <c r="H184" s="1377" t="s">
        <v>1066</v>
      </c>
      <c r="I184" s="1377" t="s">
        <v>852</v>
      </c>
      <c r="J184" s="1377"/>
      <c r="K184" s="1377"/>
      <c r="L184" s="1377" t="s">
        <v>852</v>
      </c>
      <c r="M184" s="1377" t="s">
        <v>852</v>
      </c>
      <c r="N184" s="1377" t="s">
        <v>852</v>
      </c>
      <c r="O184" s="1377" t="s">
        <v>852</v>
      </c>
      <c r="P184" s="1377" t="s">
        <v>852</v>
      </c>
      <c r="Q184" s="1377" t="s">
        <v>852</v>
      </c>
      <c r="R184" s="1384" t="s">
        <v>2169</v>
      </c>
      <c r="S184" s="1388" t="s">
        <v>854</v>
      </c>
      <c r="T184" s="1388" t="s">
        <v>854</v>
      </c>
      <c r="U184" s="1595">
        <v>0.31</v>
      </c>
      <c r="V184" s="1417">
        <v>0</v>
      </c>
      <c r="W184" s="1417" t="s">
        <v>854</v>
      </c>
      <c r="X184" s="1600">
        <v>0</v>
      </c>
      <c r="Y184" s="1602">
        <v>7.3200000000000001E-2</v>
      </c>
      <c r="Z184" s="1602">
        <v>7.3200000000000001E-2</v>
      </c>
      <c r="AA184" s="1595">
        <v>0.31</v>
      </c>
      <c r="AB184" s="1595">
        <v>0.31</v>
      </c>
      <c r="AC184" s="1418">
        <v>0</v>
      </c>
      <c r="AD184" s="1418">
        <v>-36.182000000000002</v>
      </c>
      <c r="AE184" s="1418">
        <v>-36.182000000000002</v>
      </c>
      <c r="AF184" s="1418" t="s">
        <v>205</v>
      </c>
      <c r="AG184" s="1418">
        <v>0.23</v>
      </c>
      <c r="AH184" s="1595">
        <v>0.36599999999999999</v>
      </c>
      <c r="AI184" s="1382" t="s">
        <v>205</v>
      </c>
      <c r="AJ184" s="1382" t="s">
        <v>205</v>
      </c>
      <c r="AK184" s="1382" t="s">
        <v>205</v>
      </c>
      <c r="AL184" s="1382" t="s">
        <v>205</v>
      </c>
      <c r="AM184" s="1382" t="s">
        <v>205</v>
      </c>
      <c r="AN184" s="1382" t="s">
        <v>205</v>
      </c>
      <c r="AO184" s="1382" t="s">
        <v>205</v>
      </c>
      <c r="AP184" s="1382" t="s">
        <v>205</v>
      </c>
      <c r="AQ184" s="1382" t="s">
        <v>205</v>
      </c>
      <c r="AR184" s="1382" t="s">
        <v>205</v>
      </c>
      <c r="AS184" s="1382" t="s">
        <v>205</v>
      </c>
      <c r="AT184" s="1382" t="s">
        <v>205</v>
      </c>
      <c r="AU184" s="1382" t="s">
        <v>205</v>
      </c>
      <c r="AV184" s="1382" t="s">
        <v>205</v>
      </c>
      <c r="AW184" s="1382"/>
      <c r="AX184" s="1382"/>
      <c r="AY184" s="1382"/>
      <c r="AZ184" s="1382"/>
    </row>
    <row r="185" spans="2:52" ht="67.5" x14ac:dyDescent="0.55000000000000004">
      <c r="B185" s="1578" t="s">
        <v>2116</v>
      </c>
      <c r="C185" s="1382" t="s">
        <v>1283</v>
      </c>
      <c r="D185" s="1388" t="s">
        <v>1284</v>
      </c>
      <c r="E185" s="1392" t="s">
        <v>1274</v>
      </c>
      <c r="F185" s="1393" t="s">
        <v>1088</v>
      </c>
      <c r="G185" s="1379" t="s">
        <v>850</v>
      </c>
      <c r="H185" s="1377" t="s">
        <v>1066</v>
      </c>
      <c r="I185" s="1377" t="s">
        <v>852</v>
      </c>
      <c r="J185" s="1377"/>
      <c r="K185" s="1377"/>
      <c r="L185" s="1377" t="s">
        <v>852</v>
      </c>
      <c r="M185" s="1377" t="s">
        <v>852</v>
      </c>
      <c r="N185" s="1377" t="s">
        <v>852</v>
      </c>
      <c r="O185" s="1377" t="s">
        <v>852</v>
      </c>
      <c r="P185" s="1377" t="s">
        <v>852</v>
      </c>
      <c r="Q185" s="1377" t="s">
        <v>852</v>
      </c>
      <c r="R185" s="1384" t="s">
        <v>2169</v>
      </c>
      <c r="S185" s="1381" t="s">
        <v>854</v>
      </c>
      <c r="T185" s="1381" t="s">
        <v>854</v>
      </c>
      <c r="U185" s="1595">
        <v>7.0000000000000007E-2</v>
      </c>
      <c r="V185" s="1417">
        <v>0</v>
      </c>
      <c r="W185" s="1417" t="s">
        <v>854</v>
      </c>
      <c r="X185" s="1418">
        <v>0</v>
      </c>
      <c r="Y185" s="1418">
        <v>0.11799999999999999</v>
      </c>
      <c r="Z185" s="1418">
        <v>0.11799999999999999</v>
      </c>
      <c r="AA185" s="1595">
        <v>7.0000000000000007E-2</v>
      </c>
      <c r="AB185" s="1595">
        <v>7.0000000000000007E-2</v>
      </c>
      <c r="AC185" s="1418">
        <v>0</v>
      </c>
      <c r="AD185" s="1418">
        <v>-8.17</v>
      </c>
      <c r="AE185" s="1418">
        <v>-8.17</v>
      </c>
      <c r="AF185" s="1418" t="s">
        <v>205</v>
      </c>
      <c r="AG185" s="1418">
        <v>0.84</v>
      </c>
      <c r="AH185" s="1595">
        <v>0.59</v>
      </c>
      <c r="AI185" s="1382" t="s">
        <v>205</v>
      </c>
      <c r="AJ185" s="1382" t="s">
        <v>205</v>
      </c>
      <c r="AK185" s="1382" t="s">
        <v>205</v>
      </c>
      <c r="AL185" s="1382" t="s">
        <v>205</v>
      </c>
      <c r="AM185" s="1382" t="s">
        <v>205</v>
      </c>
      <c r="AN185" s="1382" t="s">
        <v>205</v>
      </c>
      <c r="AO185" s="1382" t="s">
        <v>205</v>
      </c>
      <c r="AP185" s="1382" t="s">
        <v>205</v>
      </c>
      <c r="AQ185" s="1382" t="s">
        <v>205</v>
      </c>
      <c r="AR185" s="1382" t="s">
        <v>205</v>
      </c>
      <c r="AS185" s="1382" t="s">
        <v>205</v>
      </c>
      <c r="AT185" s="1382" t="s">
        <v>205</v>
      </c>
      <c r="AU185" s="1382" t="s">
        <v>205</v>
      </c>
      <c r="AV185" s="1382" t="s">
        <v>205</v>
      </c>
      <c r="AW185" s="1382"/>
      <c r="AX185" s="1382"/>
      <c r="AY185" s="1382"/>
      <c r="AZ185" s="1382"/>
    </row>
    <row r="186" spans="2:52" ht="90.5" thickBot="1" x14ac:dyDescent="0.6">
      <c r="B186" s="1578" t="s">
        <v>2116</v>
      </c>
      <c r="C186" s="1405" t="s">
        <v>1285</v>
      </c>
      <c r="D186" s="1563" t="s">
        <v>1286</v>
      </c>
      <c r="E186" s="1407" t="s">
        <v>1274</v>
      </c>
      <c r="F186" s="1408" t="s">
        <v>1088</v>
      </c>
      <c r="G186" s="1535" t="s">
        <v>850</v>
      </c>
      <c r="H186" s="1532" t="s">
        <v>1066</v>
      </c>
      <c r="I186" s="1532" t="s">
        <v>852</v>
      </c>
      <c r="J186" s="1532"/>
      <c r="K186" s="1532"/>
      <c r="L186" s="1377" t="s">
        <v>852</v>
      </c>
      <c r="M186" s="1377" t="s">
        <v>852</v>
      </c>
      <c r="N186" s="1377" t="s">
        <v>852</v>
      </c>
      <c r="O186" s="1377" t="s">
        <v>852</v>
      </c>
      <c r="P186" s="1377" t="s">
        <v>852</v>
      </c>
      <c r="Q186" s="1377" t="s">
        <v>852</v>
      </c>
      <c r="R186" s="1532" t="s">
        <v>2169</v>
      </c>
      <c r="S186" s="1536" t="s">
        <v>854</v>
      </c>
      <c r="T186" s="1536" t="s">
        <v>854</v>
      </c>
      <c r="U186" s="1595">
        <v>0.16</v>
      </c>
      <c r="V186" s="1564">
        <v>0</v>
      </c>
      <c r="W186" s="1564" t="s">
        <v>854</v>
      </c>
      <c r="X186" s="1564">
        <v>0</v>
      </c>
      <c r="Y186" s="1603">
        <v>8.2000000000000003E-2</v>
      </c>
      <c r="Z186" s="1603">
        <v>8.2000000000000003E-2</v>
      </c>
      <c r="AA186" s="1595">
        <v>0.16</v>
      </c>
      <c r="AB186" s="1595">
        <v>0.16</v>
      </c>
      <c r="AC186" s="1603">
        <v>0</v>
      </c>
      <c r="AD186" s="1603">
        <v>-18.675000000000001</v>
      </c>
      <c r="AE186" s="1603">
        <v>-18.675000000000001</v>
      </c>
      <c r="AF186" s="1418" t="s">
        <v>205</v>
      </c>
      <c r="AG186" s="1603">
        <v>0.26</v>
      </c>
      <c r="AH186" s="1595">
        <v>0.41</v>
      </c>
      <c r="AI186" s="1382" t="s">
        <v>205</v>
      </c>
      <c r="AJ186" s="1382" t="s">
        <v>205</v>
      </c>
      <c r="AK186" s="1382" t="s">
        <v>205</v>
      </c>
      <c r="AL186" s="1382" t="s">
        <v>205</v>
      </c>
      <c r="AM186" s="1382" t="s">
        <v>205</v>
      </c>
      <c r="AN186" s="1382" t="s">
        <v>205</v>
      </c>
      <c r="AO186" s="1382" t="s">
        <v>205</v>
      </c>
      <c r="AP186" s="1382" t="s">
        <v>205</v>
      </c>
      <c r="AQ186" s="1382" t="s">
        <v>205</v>
      </c>
      <c r="AR186" s="1382" t="s">
        <v>205</v>
      </c>
      <c r="AS186" s="1382" t="s">
        <v>205</v>
      </c>
      <c r="AT186" s="1382" t="s">
        <v>205</v>
      </c>
      <c r="AU186" s="1382" t="s">
        <v>205</v>
      </c>
      <c r="AV186" s="1382" t="s">
        <v>205</v>
      </c>
      <c r="AW186" s="1382"/>
      <c r="AX186" s="1382"/>
      <c r="AY186" s="1382"/>
      <c r="AZ186" s="1382"/>
    </row>
    <row r="187" spans="2:52" x14ac:dyDescent="0.35">
      <c r="U187" s="1604"/>
      <c r="V187" s="1604"/>
      <c r="W187" s="1604"/>
      <c r="X187" s="1604"/>
      <c r="Y187" s="1604"/>
      <c r="Z187" s="1604"/>
      <c r="AA187" s="1604"/>
      <c r="AB187" s="1604"/>
      <c r="AC187" s="1604"/>
      <c r="AD187" s="1604"/>
      <c r="AE187" s="1604"/>
      <c r="AF187" s="1604"/>
      <c r="AG187" s="1604"/>
      <c r="AH187" s="1604"/>
    </row>
    <row r="188" spans="2:52" x14ac:dyDescent="0.35">
      <c r="U188" s="1604"/>
      <c r="V188" s="1604"/>
      <c r="W188" s="1604"/>
      <c r="X188" s="1604"/>
      <c r="Y188" s="1604"/>
      <c r="Z188" s="1604"/>
      <c r="AA188" s="1604"/>
      <c r="AB188" s="1604"/>
      <c r="AC188" s="1604"/>
      <c r="AD188" s="1604"/>
      <c r="AE188" s="1604"/>
      <c r="AF188" s="1604"/>
      <c r="AG188" s="1604"/>
      <c r="AH188" s="1604"/>
    </row>
    <row r="189" spans="2:52" x14ac:dyDescent="0.35">
      <c r="U189" s="1604"/>
      <c r="V189" s="1604"/>
      <c r="W189" s="1604"/>
      <c r="X189" s="1604"/>
      <c r="Y189" s="1604"/>
      <c r="Z189" s="1604"/>
      <c r="AA189" s="1604"/>
      <c r="AB189" s="1604"/>
      <c r="AC189" s="1604"/>
      <c r="AD189" s="1604"/>
      <c r="AE189" s="1604"/>
      <c r="AF189" s="1604"/>
      <c r="AG189" s="1604"/>
      <c r="AH189" s="1604"/>
    </row>
    <row r="190" spans="2:52" x14ac:dyDescent="0.35">
      <c r="U190" s="1604"/>
      <c r="V190" s="1604"/>
      <c r="W190" s="1604"/>
      <c r="X190" s="1604"/>
      <c r="Y190" s="1604"/>
      <c r="Z190" s="1604"/>
      <c r="AA190" s="1604"/>
      <c r="AB190" s="1604"/>
      <c r="AC190" s="1604"/>
      <c r="AD190" s="1604"/>
      <c r="AE190" s="1604"/>
      <c r="AF190" s="1604"/>
      <c r="AG190" s="1604"/>
      <c r="AH190" s="1604"/>
    </row>
    <row r="191" spans="2:52" x14ac:dyDescent="0.35">
      <c r="U191" s="1604"/>
      <c r="V191" s="1604"/>
      <c r="W191" s="1604"/>
      <c r="X191" s="1604"/>
      <c r="Y191" s="1604"/>
      <c r="Z191" s="1604"/>
      <c r="AA191" s="1604"/>
      <c r="AB191" s="1604"/>
      <c r="AC191" s="1604"/>
      <c r="AD191" s="1604"/>
      <c r="AE191" s="1604"/>
      <c r="AF191" s="1604"/>
      <c r="AG191" s="1604"/>
      <c r="AH191" s="1604"/>
    </row>
    <row r="192" spans="2:52" x14ac:dyDescent="0.35">
      <c r="U192" s="1604"/>
      <c r="V192" s="1604"/>
      <c r="W192" s="1604"/>
      <c r="X192" s="1604"/>
      <c r="Y192" s="1604"/>
      <c r="Z192" s="1604"/>
      <c r="AA192" s="1604"/>
      <c r="AB192" s="1604"/>
      <c r="AC192" s="1604"/>
      <c r="AD192" s="1604"/>
      <c r="AE192" s="1604"/>
      <c r="AF192" s="1604"/>
      <c r="AG192" s="1604"/>
      <c r="AH192" s="1604"/>
    </row>
    <row r="260" spans="51:95" ht="23" thickBot="1" x14ac:dyDescent="0.4"/>
    <row r="261" spans="51:95" ht="23" thickBot="1" x14ac:dyDescent="0.4">
      <c r="BA261" s="1394"/>
      <c r="BB261" s="1394"/>
      <c r="BC261" s="1394"/>
      <c r="BD261" s="1394"/>
      <c r="BE261" s="1394"/>
      <c r="BF261" s="1394"/>
      <c r="BG261" s="1394"/>
      <c r="BH261" s="1394"/>
      <c r="BI261" s="1394"/>
      <c r="BJ261" s="1394"/>
      <c r="BK261" s="1394"/>
      <c r="BL261" s="1394"/>
      <c r="BM261" s="1394"/>
      <c r="BN261" s="1394"/>
      <c r="BO261" s="1394"/>
      <c r="BP261" s="1394"/>
      <c r="BQ261" s="1394"/>
      <c r="BR261" s="1394"/>
      <c r="BS261" s="1394"/>
      <c r="BT261" s="1394"/>
      <c r="BU261" s="1394"/>
      <c r="BV261" s="1394"/>
      <c r="BW261" s="1394"/>
      <c r="BX261" s="1394"/>
      <c r="BY261" s="1394"/>
      <c r="BZ261" s="1394"/>
      <c r="CA261" s="1394"/>
      <c r="CB261" s="1394"/>
      <c r="CC261" s="1394"/>
      <c r="CD261" s="1394"/>
      <c r="CE261" s="1394"/>
      <c r="CF261" s="1394"/>
      <c r="CG261" s="1394"/>
      <c r="CH261" s="1394"/>
      <c r="CI261" s="1394"/>
      <c r="CJ261" s="1394"/>
      <c r="CK261" s="1394"/>
      <c r="CL261" s="1394"/>
      <c r="CM261" s="1394"/>
      <c r="CN261" s="1394"/>
      <c r="CO261" s="1394"/>
      <c r="CP261" s="1394"/>
      <c r="CQ261" s="1395"/>
    </row>
    <row r="268" spans="51:95" ht="23" thickBot="1" x14ac:dyDescent="0.4"/>
    <row r="269" spans="51:95" ht="23" thickBot="1" x14ac:dyDescent="0.4">
      <c r="AY269" s="1394"/>
      <c r="AZ269" s="1394"/>
    </row>
    <row r="276" spans="2:50" ht="23" thickBot="1" x14ac:dyDescent="0.4"/>
    <row r="277" spans="2:50" ht="23" thickBot="1" x14ac:dyDescent="0.4">
      <c r="C277" s="1369" t="s">
        <v>474</v>
      </c>
      <c r="H277" s="1396"/>
      <c r="I277" s="1394"/>
      <c r="J277" s="1394"/>
      <c r="K277" s="1394"/>
      <c r="L277" s="1394"/>
      <c r="M277" s="1394"/>
      <c r="N277" s="1394"/>
      <c r="O277" s="1394"/>
      <c r="P277" s="1394"/>
      <c r="Q277" s="1394"/>
      <c r="R277" s="1394"/>
      <c r="S277" s="1394"/>
      <c r="T277" s="1394"/>
      <c r="U277" s="1394"/>
      <c r="V277" s="1394"/>
      <c r="W277" s="1394"/>
      <c r="X277" s="1394"/>
      <c r="Y277" s="1394"/>
      <c r="Z277" s="1394"/>
      <c r="AA277" s="1394"/>
      <c r="AB277" s="1394"/>
      <c r="AC277" s="1394"/>
      <c r="AD277" s="1394"/>
      <c r="AE277" s="1394"/>
      <c r="AF277" s="1394"/>
      <c r="AG277" s="1394"/>
      <c r="AH277" s="1394"/>
      <c r="AI277" s="1394"/>
      <c r="AJ277" s="1394"/>
      <c r="AK277" s="1394"/>
      <c r="AL277" s="1394"/>
      <c r="AM277" s="1394"/>
      <c r="AN277" s="1394"/>
      <c r="AO277" s="1394"/>
      <c r="AP277" s="1394"/>
      <c r="AQ277" s="1394"/>
      <c r="AR277" s="1394"/>
      <c r="AS277" s="1394"/>
      <c r="AT277" s="1394"/>
      <c r="AU277" s="1394"/>
      <c r="AV277" s="1394"/>
      <c r="AW277" s="1394"/>
      <c r="AX277" s="1394"/>
    </row>
    <row r="278" spans="2:50" ht="67.5" x14ac:dyDescent="0.35">
      <c r="B278" s="1397"/>
      <c r="C278" s="1398" t="s">
        <v>1287</v>
      </c>
      <c r="D278" s="1398"/>
      <c r="E278" s="1398" t="s">
        <v>498</v>
      </c>
      <c r="F278" s="1398" t="s">
        <v>305</v>
      </c>
      <c r="G278" s="1399">
        <v>2</v>
      </c>
    </row>
    <row r="279" spans="2:50" ht="45" x14ac:dyDescent="0.35">
      <c r="B279" s="1400"/>
      <c r="C279" s="1369" t="s">
        <v>635</v>
      </c>
      <c r="E279" s="1369" t="s">
        <v>486</v>
      </c>
      <c r="F279" s="1369" t="s">
        <v>305</v>
      </c>
      <c r="G279" s="1401">
        <v>2</v>
      </c>
    </row>
    <row r="280" spans="2:50" ht="90" x14ac:dyDescent="0.35">
      <c r="B280" s="1400"/>
      <c r="C280" s="1369" t="s">
        <v>1288</v>
      </c>
      <c r="E280" s="1369" t="s">
        <v>489</v>
      </c>
      <c r="F280" s="1369" t="s">
        <v>305</v>
      </c>
      <c r="G280" s="1401">
        <v>2</v>
      </c>
    </row>
    <row r="281" spans="2:50" ht="90" x14ac:dyDescent="0.35">
      <c r="B281" s="1400"/>
      <c r="C281" s="1369" t="s">
        <v>1289</v>
      </c>
      <c r="E281" s="1369" t="s">
        <v>510</v>
      </c>
      <c r="F281" s="1369" t="s">
        <v>305</v>
      </c>
      <c r="G281" s="1401">
        <v>2</v>
      </c>
    </row>
    <row r="282" spans="2:50" ht="90" x14ac:dyDescent="0.35">
      <c r="B282" s="1400"/>
      <c r="C282" s="1369" t="s">
        <v>1290</v>
      </c>
      <c r="E282" s="1369" t="s">
        <v>492</v>
      </c>
      <c r="F282" s="1369" t="s">
        <v>305</v>
      </c>
      <c r="G282" s="1401">
        <v>2</v>
      </c>
    </row>
    <row r="283" spans="2:50" ht="67.5" x14ac:dyDescent="0.35">
      <c r="B283" s="1400"/>
      <c r="C283" s="1369" t="s">
        <v>1291</v>
      </c>
      <c r="E283" s="1369" t="s">
        <v>495</v>
      </c>
      <c r="F283" s="1369" t="s">
        <v>305</v>
      </c>
      <c r="G283" s="1401">
        <v>2</v>
      </c>
    </row>
    <row r="284" spans="2:50" ht="67.5" x14ac:dyDescent="0.35">
      <c r="B284" s="1400"/>
      <c r="C284" s="1369" t="s">
        <v>500</v>
      </c>
      <c r="E284" s="1369" t="s">
        <v>501</v>
      </c>
      <c r="F284" s="1369" t="s">
        <v>305</v>
      </c>
      <c r="G284" s="1401">
        <v>2</v>
      </c>
    </row>
    <row r="285" spans="2:50" ht="90" x14ac:dyDescent="0.35">
      <c r="B285" s="1400"/>
      <c r="C285" s="1369" t="s">
        <v>1292</v>
      </c>
      <c r="E285" s="1369" t="s">
        <v>513</v>
      </c>
      <c r="F285" s="1369" t="s">
        <v>305</v>
      </c>
      <c r="G285" s="1401">
        <v>2</v>
      </c>
    </row>
    <row r="286" spans="2:50" ht="45.5" thickBot="1" x14ac:dyDescent="0.4">
      <c r="B286" s="1402"/>
      <c r="C286" s="1403" t="s">
        <v>1293</v>
      </c>
      <c r="D286" s="1403"/>
      <c r="E286" s="1403" t="s">
        <v>516</v>
      </c>
      <c r="F286" s="1403" t="s">
        <v>305</v>
      </c>
      <c r="G286" s="1404">
        <v>2</v>
      </c>
    </row>
  </sheetData>
  <mergeCells count="6">
    <mergeCell ref="AT4:AU4"/>
    <mergeCell ref="AJ4:AK4"/>
    <mergeCell ref="AL4:AM4"/>
    <mergeCell ref="AN4:AO4"/>
    <mergeCell ref="AP4:AQ4"/>
    <mergeCell ref="AR4:AS4"/>
  </mergeCells>
  <phoneticPr fontId="38"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CN65"/>
  <sheetViews>
    <sheetView topLeftCell="A4" zoomScale="80" zoomScaleNormal="80" workbookViewId="0">
      <pane xSplit="4" ySplit="2" topLeftCell="E6" activePane="bottomRight" state="frozen"/>
      <selection pane="topRight" activeCell="E4" sqref="E4"/>
      <selection pane="bottomLeft" activeCell="A6" sqref="A6"/>
      <selection pane="bottomRight" activeCell="CL13" sqref="CL13"/>
    </sheetView>
  </sheetViews>
  <sheetFormatPr defaultColWidth="8.84375" defaultRowHeight="14" x14ac:dyDescent="0.35"/>
  <cols>
    <col min="1" max="1" width="2.15234375" style="8" customWidth="1"/>
    <col min="2" max="2" width="18.07421875" style="8" customWidth="1"/>
    <col min="3" max="3" width="24.07421875" style="8" customWidth="1"/>
    <col min="4" max="4" width="14.07421875" style="8" bestFit="1" customWidth="1"/>
    <col min="5" max="5" width="17.84375" style="8" customWidth="1"/>
    <col min="6" max="6" width="24.15234375" style="8" customWidth="1"/>
    <col min="7" max="7" width="11" style="8" customWidth="1"/>
    <col min="8" max="8" width="23.07421875" style="8" customWidth="1"/>
    <col min="9" max="11" width="16.15234375" style="8" customWidth="1"/>
    <col min="12" max="14" width="8.84375" style="8" customWidth="1"/>
    <col min="15" max="91" width="8.84375" style="8"/>
    <col min="92" max="92" width="9.15234375" style="8" customWidth="1"/>
    <col min="93" max="16384" width="8.84375" style="8"/>
  </cols>
  <sheetData>
    <row r="1" spans="2:92" ht="14.5" thickBot="1" x14ac:dyDescent="0.4"/>
    <row r="2" spans="2:92" ht="35.15" customHeight="1" thickBot="1" x14ac:dyDescent="0.4">
      <c r="B2" s="461" t="s">
        <v>60</v>
      </c>
      <c r="C2" s="462" t="str">
        <f>'TITLE PAGE'!$D$18</f>
        <v>Cambridge Water</v>
      </c>
      <c r="D2" s="461" t="s">
        <v>2</v>
      </c>
      <c r="E2" s="463"/>
      <c r="G2" s="1243" t="s">
        <v>59</v>
      </c>
    </row>
    <row r="3" spans="2:92" ht="14.5" thickBot="1" x14ac:dyDescent="0.4"/>
    <row r="4" spans="2:92" ht="42" customHeight="1" thickBot="1" x14ac:dyDescent="0.4">
      <c r="B4" s="206" t="s">
        <v>1294</v>
      </c>
      <c r="C4" s="75" t="s">
        <v>855</v>
      </c>
      <c r="D4" s="76" t="s">
        <v>855</v>
      </c>
      <c r="E4" s="76" t="s">
        <v>855</v>
      </c>
      <c r="F4" s="76" t="s">
        <v>855</v>
      </c>
      <c r="G4" s="76"/>
      <c r="H4" s="76"/>
      <c r="I4" s="76"/>
      <c r="J4" s="76"/>
      <c r="K4" s="76"/>
      <c r="L4" s="1726" t="s">
        <v>1295</v>
      </c>
      <c r="M4" s="1727"/>
      <c r="N4" s="1727"/>
      <c r="O4" s="1727"/>
      <c r="P4" s="1727"/>
      <c r="Q4" s="1727"/>
      <c r="R4" s="1727"/>
      <c r="S4" s="1727"/>
      <c r="T4" s="1727"/>
      <c r="U4" s="1727"/>
      <c r="V4" s="1727"/>
      <c r="W4" s="1727"/>
      <c r="X4" s="1727"/>
      <c r="Y4" s="1727"/>
      <c r="Z4" s="1727"/>
      <c r="AA4" s="1727"/>
      <c r="AB4" s="1727"/>
      <c r="AC4" s="1727"/>
      <c r="AD4" s="1727"/>
      <c r="AE4" s="1727"/>
      <c r="AF4" s="1727"/>
      <c r="AG4" s="1727"/>
      <c r="AH4" s="1727"/>
      <c r="AI4" s="1727"/>
      <c r="AJ4" s="1727"/>
      <c r="AK4" s="1727"/>
      <c r="AL4" s="1727"/>
      <c r="AM4" s="1727"/>
      <c r="AN4" s="1727"/>
      <c r="AO4" s="1727"/>
      <c r="AP4" s="1727"/>
      <c r="AQ4" s="1727"/>
      <c r="AR4" s="1727"/>
      <c r="AS4" s="1727"/>
      <c r="AT4" s="1727"/>
      <c r="AU4" s="1727"/>
      <c r="AV4" s="1727"/>
      <c r="AW4" s="1727"/>
      <c r="AX4" s="1727"/>
      <c r="AY4" s="1727"/>
      <c r="AZ4" s="1727"/>
      <c r="BA4" s="1727"/>
      <c r="BB4" s="1727"/>
      <c r="BC4" s="1727"/>
      <c r="BD4" s="1727"/>
      <c r="BE4" s="1727"/>
      <c r="BF4" s="1727"/>
      <c r="BG4" s="1727"/>
      <c r="BH4" s="1727"/>
      <c r="BI4" s="1727"/>
      <c r="BJ4" s="1727"/>
      <c r="BK4" s="1727"/>
      <c r="BL4" s="1727"/>
      <c r="BM4" s="1727"/>
      <c r="BN4" s="1727"/>
      <c r="BO4" s="1727"/>
      <c r="BP4" s="1727"/>
      <c r="BQ4" s="1727"/>
      <c r="BR4" s="1727"/>
      <c r="BS4" s="1727"/>
      <c r="BT4" s="1727"/>
      <c r="BU4" s="1727"/>
      <c r="BV4" s="1727"/>
      <c r="BW4" s="1727"/>
      <c r="BX4" s="1727"/>
      <c r="BY4" s="1727"/>
      <c r="BZ4" s="1727"/>
      <c r="CA4" s="1727"/>
      <c r="CB4" s="1727"/>
      <c r="CC4" s="1727"/>
      <c r="CD4" s="1727"/>
      <c r="CE4" s="1727"/>
      <c r="CF4" s="1727"/>
      <c r="CG4" s="1727"/>
      <c r="CH4" s="1727"/>
      <c r="CI4" s="1727"/>
      <c r="CJ4" s="1727"/>
      <c r="CK4" s="1727"/>
      <c r="CL4" s="1727"/>
      <c r="CM4" s="1727"/>
      <c r="CN4" s="1727"/>
    </row>
    <row r="5" spans="2:92" ht="42.5" thickBot="1" x14ac:dyDescent="0.4">
      <c r="B5" s="1583" t="s">
        <v>65</v>
      </c>
      <c r="C5" s="1584" t="s">
        <v>1296</v>
      </c>
      <c r="D5" s="1584" t="s">
        <v>795</v>
      </c>
      <c r="E5" s="1584" t="s">
        <v>1297</v>
      </c>
      <c r="F5" s="1584" t="s">
        <v>798</v>
      </c>
      <c r="G5" s="210" t="s">
        <v>1298</v>
      </c>
      <c r="H5" s="1584" t="s">
        <v>1299</v>
      </c>
      <c r="I5" s="210" t="s">
        <v>1300</v>
      </c>
      <c r="J5" s="210" t="s">
        <v>219</v>
      </c>
      <c r="K5" s="215" t="s">
        <v>220</v>
      </c>
      <c r="L5" s="77" t="s">
        <v>221</v>
      </c>
      <c r="M5" s="77" t="s">
        <v>222</v>
      </c>
      <c r="N5" s="77" t="s">
        <v>223</v>
      </c>
      <c r="O5" s="77" t="s">
        <v>224</v>
      </c>
      <c r="P5" s="77" t="s">
        <v>225</v>
      </c>
      <c r="Q5" s="77" t="s">
        <v>226</v>
      </c>
      <c r="R5" s="77" t="s">
        <v>227</v>
      </c>
      <c r="S5" s="77" t="s">
        <v>228</v>
      </c>
      <c r="T5" s="77" t="s">
        <v>229</v>
      </c>
      <c r="U5" s="77" t="s">
        <v>230</v>
      </c>
      <c r="V5" s="77" t="s">
        <v>231</v>
      </c>
      <c r="W5" s="77" t="s">
        <v>232</v>
      </c>
      <c r="X5" s="77" t="s">
        <v>233</v>
      </c>
      <c r="Y5" s="77" t="s">
        <v>234</v>
      </c>
      <c r="Z5" s="77" t="s">
        <v>235</v>
      </c>
      <c r="AA5" s="77" t="s">
        <v>236</v>
      </c>
      <c r="AB5" s="77" t="s">
        <v>237</v>
      </c>
      <c r="AC5" s="77" t="s">
        <v>238</v>
      </c>
      <c r="AD5" s="77" t="s">
        <v>239</v>
      </c>
      <c r="AE5" s="77" t="s">
        <v>240</v>
      </c>
      <c r="AF5" s="77" t="s">
        <v>241</v>
      </c>
      <c r="AG5" s="77" t="s">
        <v>242</v>
      </c>
      <c r="AH5" s="77" t="s">
        <v>243</v>
      </c>
      <c r="AI5" s="77" t="s">
        <v>244</v>
      </c>
      <c r="AJ5" s="77" t="s">
        <v>245</v>
      </c>
      <c r="AK5" s="77" t="s">
        <v>246</v>
      </c>
      <c r="AL5" s="77" t="s">
        <v>247</v>
      </c>
      <c r="AM5" s="77" t="s">
        <v>248</v>
      </c>
      <c r="AN5" s="77" t="s">
        <v>249</v>
      </c>
      <c r="AO5" s="77" t="s">
        <v>250</v>
      </c>
      <c r="AP5" s="77" t="s">
        <v>251</v>
      </c>
      <c r="AQ5" s="77" t="s">
        <v>252</v>
      </c>
      <c r="AR5" s="77" t="s">
        <v>253</v>
      </c>
      <c r="AS5" s="77" t="s">
        <v>254</v>
      </c>
      <c r="AT5" s="77" t="s">
        <v>255</v>
      </c>
      <c r="AU5" s="77" t="s">
        <v>256</v>
      </c>
      <c r="AV5" s="77" t="s">
        <v>257</v>
      </c>
      <c r="AW5" s="77" t="s">
        <v>258</v>
      </c>
      <c r="AX5" s="77" t="s">
        <v>259</v>
      </c>
      <c r="AY5" s="77" t="s">
        <v>260</v>
      </c>
      <c r="AZ5" s="77" t="s">
        <v>261</v>
      </c>
      <c r="BA5" s="77" t="s">
        <v>262</v>
      </c>
      <c r="BB5" s="77" t="s">
        <v>263</v>
      </c>
      <c r="BC5" s="77" t="s">
        <v>264</v>
      </c>
      <c r="BD5" s="77" t="s">
        <v>265</v>
      </c>
      <c r="BE5" s="77" t="s">
        <v>266</v>
      </c>
      <c r="BF5" s="77" t="s">
        <v>267</v>
      </c>
      <c r="BG5" s="77" t="s">
        <v>268</v>
      </c>
      <c r="BH5" s="77" t="s">
        <v>269</v>
      </c>
      <c r="BI5" s="77" t="s">
        <v>270</v>
      </c>
      <c r="BJ5" s="77" t="s">
        <v>271</v>
      </c>
      <c r="BK5" s="77" t="s">
        <v>272</v>
      </c>
      <c r="BL5" s="77" t="s">
        <v>273</v>
      </c>
      <c r="BM5" s="77" t="s">
        <v>274</v>
      </c>
      <c r="BN5" s="77" t="s">
        <v>275</v>
      </c>
      <c r="BO5" s="77" t="s">
        <v>276</v>
      </c>
      <c r="BP5" s="78" t="s">
        <v>277</v>
      </c>
      <c r="BQ5" s="79" t="s">
        <v>278</v>
      </c>
      <c r="BR5" s="79" t="s">
        <v>279</v>
      </c>
      <c r="BS5" s="79" t="s">
        <v>280</v>
      </c>
      <c r="BT5" s="79" t="s">
        <v>281</v>
      </c>
      <c r="BU5" s="79" t="s">
        <v>282</v>
      </c>
      <c r="BV5" s="79" t="s">
        <v>283</v>
      </c>
      <c r="BW5" s="79" t="s">
        <v>284</v>
      </c>
      <c r="BX5" s="79" t="s">
        <v>285</v>
      </c>
      <c r="BY5" s="79" t="s">
        <v>286</v>
      </c>
      <c r="BZ5" s="79" t="s">
        <v>287</v>
      </c>
      <c r="CA5" s="79" t="s">
        <v>288</v>
      </c>
      <c r="CB5" s="79" t="s">
        <v>289</v>
      </c>
      <c r="CC5" s="79" t="s">
        <v>290</v>
      </c>
      <c r="CD5" s="79" t="s">
        <v>291</v>
      </c>
      <c r="CE5" s="79" t="s">
        <v>292</v>
      </c>
      <c r="CF5" s="79" t="s">
        <v>293</v>
      </c>
      <c r="CG5" s="79" t="s">
        <v>294</v>
      </c>
      <c r="CH5" s="79" t="s">
        <v>295</v>
      </c>
      <c r="CI5" s="79" t="s">
        <v>296</v>
      </c>
      <c r="CJ5" s="79" t="s">
        <v>297</v>
      </c>
      <c r="CK5" s="79" t="s">
        <v>298</v>
      </c>
      <c r="CL5" s="79" t="s">
        <v>299</v>
      </c>
      <c r="CM5" s="79" t="s">
        <v>300</v>
      </c>
      <c r="CN5" s="80" t="s">
        <v>301</v>
      </c>
    </row>
    <row r="6" spans="2:92" ht="42" x14ac:dyDescent="0.35">
      <c r="B6"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52aP</v>
      </c>
      <c r="C6" s="1248" t="s">
        <v>862</v>
      </c>
      <c r="D6" s="1248" t="s">
        <v>861</v>
      </c>
      <c r="E6" s="1249" t="s">
        <v>848</v>
      </c>
      <c r="F6" s="1247" t="str">
        <f>VLOOKUP(TBL5_OptBen[[#This Row],[Option Type (defined list)]],'Option Typs_Grps'!B$2:C$47, 2, FALSE)</f>
        <v>Resource Options</v>
      </c>
      <c r="G6" s="1248" t="s">
        <v>852</v>
      </c>
      <c r="H6" s="1248" t="s">
        <v>851</v>
      </c>
      <c r="I6" s="1250" t="s">
        <v>85</v>
      </c>
      <c r="J6" s="1250" t="s">
        <v>305</v>
      </c>
      <c r="K6" s="1253">
        <v>2</v>
      </c>
      <c r="L6" s="1251"/>
      <c r="M6" s="362"/>
      <c r="N6" s="362"/>
      <c r="O6" s="362"/>
      <c r="P6" s="362"/>
      <c r="Q6" s="362"/>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3"/>
      <c r="AY6" s="363"/>
      <c r="AZ6" s="363"/>
      <c r="BA6" s="363"/>
      <c r="BB6" s="363"/>
      <c r="BC6" s="363"/>
      <c r="BD6" s="363"/>
      <c r="BE6" s="363"/>
      <c r="BF6" s="363"/>
      <c r="BG6" s="363"/>
      <c r="BH6" s="363"/>
      <c r="BI6" s="363"/>
      <c r="BJ6" s="363">
        <v>2</v>
      </c>
      <c r="BK6" s="363">
        <v>2</v>
      </c>
      <c r="BL6" s="363">
        <v>2</v>
      </c>
      <c r="BM6" s="363">
        <v>2</v>
      </c>
      <c r="BN6" s="363">
        <v>2</v>
      </c>
      <c r="BO6" s="363">
        <v>2</v>
      </c>
      <c r="BP6" s="364">
        <v>2</v>
      </c>
      <c r="BQ6" s="350">
        <v>2</v>
      </c>
      <c r="BR6" s="350">
        <v>2</v>
      </c>
      <c r="BS6" s="350">
        <v>2</v>
      </c>
      <c r="BT6" s="350">
        <v>2</v>
      </c>
      <c r="BU6" s="350">
        <v>2</v>
      </c>
      <c r="BV6" s="350">
        <v>2</v>
      </c>
      <c r="BW6" s="350">
        <v>2</v>
      </c>
      <c r="BX6" s="350">
        <v>2</v>
      </c>
      <c r="BY6" s="350">
        <v>2</v>
      </c>
      <c r="BZ6" s="350">
        <v>2</v>
      </c>
      <c r="CA6" s="350">
        <v>2</v>
      </c>
      <c r="CB6" s="350">
        <v>2</v>
      </c>
      <c r="CC6" s="350">
        <v>2</v>
      </c>
      <c r="CD6" s="350">
        <v>2</v>
      </c>
      <c r="CE6" s="350">
        <v>2</v>
      </c>
      <c r="CF6" s="350">
        <v>2</v>
      </c>
      <c r="CG6" s="350">
        <v>2</v>
      </c>
      <c r="CH6" s="350">
        <v>2</v>
      </c>
      <c r="CI6" s="350">
        <v>2</v>
      </c>
      <c r="CJ6" s="350">
        <v>2</v>
      </c>
      <c r="CK6" s="350">
        <v>2</v>
      </c>
      <c r="CL6" s="350">
        <v>2</v>
      </c>
      <c r="CM6" s="350">
        <v>2</v>
      </c>
      <c r="CN6" s="365">
        <v>2</v>
      </c>
    </row>
    <row r="7" spans="2:92" ht="28" x14ac:dyDescent="0.35">
      <c r="B7"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52aP</v>
      </c>
      <c r="C7" s="1248" t="s">
        <v>1072</v>
      </c>
      <c r="D7" s="1248" t="s">
        <v>1071</v>
      </c>
      <c r="E7" s="1249" t="s">
        <v>1059</v>
      </c>
      <c r="F7" s="1247" t="str">
        <f>VLOOKUP(TBL5_OptBen[[#This Row],[Option Type (defined list)]],'Option Typs_Grps'!B$2:C$47, 2, FALSE)</f>
        <v>Resource Options</v>
      </c>
      <c r="G7" s="1248" t="s">
        <v>852</v>
      </c>
      <c r="H7" s="1248" t="s">
        <v>851</v>
      </c>
      <c r="I7" s="1250" t="s">
        <v>85</v>
      </c>
      <c r="J7" s="1250" t="s">
        <v>305</v>
      </c>
      <c r="K7" s="1253">
        <v>2</v>
      </c>
      <c r="L7" s="362"/>
      <c r="M7" s="362"/>
      <c r="N7" s="362"/>
      <c r="O7" s="1361"/>
      <c r="P7" s="1362"/>
      <c r="Q7" s="1363"/>
      <c r="R7" s="1364"/>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3"/>
      <c r="AY7" s="363"/>
      <c r="AZ7" s="363"/>
      <c r="BA7" s="363"/>
      <c r="BB7" s="363"/>
      <c r="BC7" s="363"/>
      <c r="BD7" s="363"/>
      <c r="BE7" s="363"/>
      <c r="BF7" s="363"/>
      <c r="BG7" s="363"/>
      <c r="BH7" s="363"/>
      <c r="BI7" s="363"/>
      <c r="BJ7" s="363"/>
      <c r="BK7" s="363"/>
      <c r="BL7" s="363"/>
      <c r="BM7" s="363"/>
      <c r="BN7" s="363"/>
      <c r="BO7" s="363"/>
      <c r="BP7" s="363"/>
      <c r="BQ7" s="363"/>
      <c r="BR7" s="363"/>
      <c r="BS7" s="363"/>
      <c r="BT7" s="363"/>
      <c r="BU7" s="363"/>
      <c r="BV7" s="363"/>
      <c r="BW7" s="363"/>
      <c r="BX7" s="363">
        <v>0.5</v>
      </c>
      <c r="BY7" s="363">
        <v>0.5</v>
      </c>
      <c r="BZ7" s="363">
        <v>0.5</v>
      </c>
      <c r="CA7" s="363">
        <v>0.5</v>
      </c>
      <c r="CB7" s="363">
        <v>0.5</v>
      </c>
      <c r="CC7" s="363">
        <v>0.5</v>
      </c>
      <c r="CD7" s="363">
        <v>0.5</v>
      </c>
      <c r="CE7" s="363">
        <v>0.5</v>
      </c>
      <c r="CF7" s="363">
        <v>0.5</v>
      </c>
      <c r="CG7" s="363">
        <v>0.5</v>
      </c>
      <c r="CH7" s="363">
        <v>0.5</v>
      </c>
      <c r="CI7" s="363">
        <v>0.5</v>
      </c>
      <c r="CJ7" s="363">
        <v>0.5</v>
      </c>
      <c r="CK7" s="363">
        <v>0.5</v>
      </c>
      <c r="CL7" s="363">
        <v>0.5</v>
      </c>
      <c r="CM7" s="363">
        <v>0.5</v>
      </c>
      <c r="CN7" s="363">
        <v>0.5</v>
      </c>
    </row>
    <row r="8" spans="2:92" ht="28" x14ac:dyDescent="0.35">
      <c r="B8"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52aP</v>
      </c>
      <c r="C8" s="1248" t="s">
        <v>1083</v>
      </c>
      <c r="D8" s="1248" t="s">
        <v>1082</v>
      </c>
      <c r="E8" s="1249" t="s">
        <v>1059</v>
      </c>
      <c r="F8" s="1247" t="str">
        <f>VLOOKUP(TBL5_OptBen[[#This Row],[Option Type (defined list)]],'Option Typs_Grps'!B$2:C$47, 2, FALSE)</f>
        <v>Resource Options</v>
      </c>
      <c r="G8" s="1248" t="s">
        <v>852</v>
      </c>
      <c r="H8" s="1248" t="s">
        <v>851</v>
      </c>
      <c r="I8" s="1250" t="s">
        <v>85</v>
      </c>
      <c r="J8" s="1250" t="s">
        <v>305</v>
      </c>
      <c r="K8" s="1253">
        <v>2</v>
      </c>
      <c r="L8" s="1251"/>
      <c r="M8" s="362"/>
      <c r="N8" s="362"/>
      <c r="O8" s="1361"/>
      <c r="P8" s="1362"/>
      <c r="Q8" s="1363"/>
      <c r="R8" s="1364"/>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3"/>
      <c r="AZ8" s="363"/>
      <c r="BA8" s="363"/>
      <c r="BB8" s="363"/>
      <c r="BC8" s="363"/>
      <c r="BD8" s="363"/>
      <c r="BE8" s="363"/>
      <c r="BF8" s="363"/>
      <c r="BG8" s="363"/>
      <c r="BH8" s="363"/>
      <c r="BI8" s="363"/>
      <c r="BJ8" s="363"/>
      <c r="BK8" s="363"/>
      <c r="BL8" s="363"/>
      <c r="BM8" s="363"/>
      <c r="BN8" s="363"/>
      <c r="BO8" s="363"/>
      <c r="BP8" s="363"/>
      <c r="BQ8" s="363"/>
      <c r="BR8" s="363"/>
      <c r="BS8" s="363"/>
      <c r="BT8" s="363"/>
      <c r="BU8" s="363"/>
      <c r="BV8" s="363"/>
      <c r="BW8" s="363"/>
      <c r="BX8" s="363"/>
      <c r="BY8" s="363"/>
      <c r="BZ8" s="363"/>
      <c r="CA8" s="363"/>
      <c r="CB8" s="363"/>
      <c r="CC8" s="363">
        <v>0.9</v>
      </c>
      <c r="CD8" s="363">
        <v>0.9</v>
      </c>
      <c r="CE8" s="363">
        <v>0.9</v>
      </c>
      <c r="CF8" s="363">
        <v>0.9</v>
      </c>
      <c r="CG8" s="363">
        <v>0.9</v>
      </c>
      <c r="CH8" s="363">
        <v>0.9</v>
      </c>
      <c r="CI8" s="363">
        <v>0.9</v>
      </c>
      <c r="CJ8" s="363">
        <v>0.9</v>
      </c>
      <c r="CK8" s="363">
        <v>0.9</v>
      </c>
      <c r="CL8" s="363">
        <v>0.9</v>
      </c>
      <c r="CM8" s="363">
        <v>0.9</v>
      </c>
      <c r="CN8" s="363">
        <v>0.9</v>
      </c>
    </row>
    <row r="9" spans="2:92" ht="28" hidden="1" x14ac:dyDescent="0.35">
      <c r="B9"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52aP</v>
      </c>
      <c r="C9" s="1248" t="s">
        <v>1159</v>
      </c>
      <c r="D9" s="1248" t="s">
        <v>1158</v>
      </c>
      <c r="E9" s="1249" t="s">
        <v>889</v>
      </c>
      <c r="F9" s="1247" t="str">
        <f>VLOOKUP(TBL5_OptBen[[#This Row],[Option Type (defined list)]],'Option Typs_Grps'!B$2:C$47, 2, FALSE)</f>
        <v>Resource Options</v>
      </c>
      <c r="G9" s="1248" t="s">
        <v>852</v>
      </c>
      <c r="H9" s="1248" t="s">
        <v>851</v>
      </c>
      <c r="I9" s="1250" t="s">
        <v>85</v>
      </c>
      <c r="J9" s="1250" t="s">
        <v>305</v>
      </c>
      <c r="K9" s="1253">
        <v>2</v>
      </c>
      <c r="L9" s="1251"/>
      <c r="M9" s="362"/>
      <c r="N9" s="362"/>
      <c r="O9" s="362"/>
      <c r="P9" s="362"/>
      <c r="Q9" s="362"/>
      <c r="R9" s="363"/>
      <c r="S9" s="363"/>
      <c r="T9" s="363"/>
      <c r="U9" s="363"/>
      <c r="V9" s="363"/>
      <c r="W9" s="363"/>
      <c r="X9" s="363"/>
      <c r="Y9" s="363"/>
      <c r="Z9" s="363"/>
      <c r="AA9" s="363"/>
      <c r="AB9" s="363"/>
      <c r="AC9" s="363"/>
      <c r="AD9" s="363"/>
      <c r="AE9" s="363"/>
      <c r="AF9" s="363"/>
      <c r="AG9" s="363">
        <v>7</v>
      </c>
      <c r="AH9" s="363">
        <v>7</v>
      </c>
      <c r="AI9" s="363">
        <v>7</v>
      </c>
      <c r="AJ9" s="363">
        <v>7</v>
      </c>
      <c r="AK9" s="363">
        <v>7</v>
      </c>
      <c r="AL9" s="363">
        <v>7</v>
      </c>
      <c r="AM9" s="363">
        <v>7</v>
      </c>
      <c r="AN9" s="363">
        <v>7</v>
      </c>
      <c r="AO9" s="363">
        <v>7</v>
      </c>
      <c r="AP9" s="363">
        <v>7</v>
      </c>
      <c r="AQ9" s="363">
        <v>7</v>
      </c>
      <c r="AR9" s="363">
        <v>7</v>
      </c>
      <c r="AS9" s="363">
        <v>7</v>
      </c>
      <c r="AT9" s="363">
        <v>7</v>
      </c>
      <c r="AU9" s="363">
        <v>7</v>
      </c>
      <c r="AV9" s="363">
        <v>7</v>
      </c>
      <c r="AW9" s="363">
        <v>7</v>
      </c>
      <c r="AX9" s="363">
        <v>7</v>
      </c>
      <c r="AY9" s="363">
        <v>7</v>
      </c>
      <c r="AZ9" s="363">
        <v>7</v>
      </c>
      <c r="BA9" s="363">
        <v>7</v>
      </c>
      <c r="BB9" s="363">
        <v>7</v>
      </c>
      <c r="BC9" s="363">
        <v>7</v>
      </c>
      <c r="BD9" s="363">
        <v>7</v>
      </c>
      <c r="BE9" s="363">
        <v>7</v>
      </c>
      <c r="BF9" s="363">
        <v>7</v>
      </c>
      <c r="BG9" s="363">
        <v>7</v>
      </c>
      <c r="BH9" s="363">
        <v>7</v>
      </c>
      <c r="BI9" s="363">
        <v>7</v>
      </c>
      <c r="BJ9" s="363">
        <v>7</v>
      </c>
      <c r="BK9" s="363">
        <v>7</v>
      </c>
      <c r="BL9" s="363">
        <v>7</v>
      </c>
      <c r="BM9" s="363">
        <v>7</v>
      </c>
      <c r="BN9" s="363">
        <v>7</v>
      </c>
      <c r="BO9" s="363">
        <v>7</v>
      </c>
      <c r="BP9" s="364">
        <v>7</v>
      </c>
      <c r="BQ9" s="350">
        <v>7</v>
      </c>
      <c r="BR9" s="350">
        <v>7</v>
      </c>
      <c r="BS9" s="350">
        <v>7</v>
      </c>
      <c r="BT9" s="350">
        <v>7</v>
      </c>
      <c r="BU9" s="350">
        <v>7</v>
      </c>
      <c r="BV9" s="350">
        <v>7</v>
      </c>
      <c r="BW9" s="350">
        <v>7</v>
      </c>
      <c r="BX9" s="350">
        <v>7</v>
      </c>
      <c r="BY9" s="350">
        <v>7</v>
      </c>
      <c r="BZ9" s="350">
        <v>7</v>
      </c>
      <c r="CA9" s="350">
        <v>7</v>
      </c>
      <c r="CB9" s="350">
        <v>7</v>
      </c>
      <c r="CC9" s="350">
        <v>7</v>
      </c>
      <c r="CD9" s="350">
        <v>7</v>
      </c>
      <c r="CE9" s="350">
        <v>7</v>
      </c>
      <c r="CF9" s="350">
        <v>7</v>
      </c>
      <c r="CG9" s="350">
        <v>7</v>
      </c>
      <c r="CH9" s="350">
        <v>7</v>
      </c>
      <c r="CI9" s="350">
        <v>7</v>
      </c>
      <c r="CJ9" s="350">
        <v>7</v>
      </c>
      <c r="CK9" s="350">
        <v>7</v>
      </c>
      <c r="CL9" s="350">
        <v>7</v>
      </c>
      <c r="CM9" s="350">
        <v>7</v>
      </c>
      <c r="CN9" s="365">
        <v>7</v>
      </c>
    </row>
    <row r="10" spans="2:92" ht="45.75" hidden="1" customHeight="1" x14ac:dyDescent="0.35">
      <c r="B10"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52aP</v>
      </c>
      <c r="C10" s="1248" t="s">
        <v>1212</v>
      </c>
      <c r="D10" s="1248" t="s">
        <v>1211</v>
      </c>
      <c r="E10" s="1249" t="s">
        <v>893</v>
      </c>
      <c r="F10" s="1247" t="str">
        <f>VLOOKUP(TBL5_OptBen[[#This Row],[Option Type (defined list)]],'Option Typs_Grps'!B$2:C$47, 2, FALSE)</f>
        <v>Resource Options</v>
      </c>
      <c r="G10" s="1248" t="s">
        <v>852</v>
      </c>
      <c r="H10" s="1248" t="s">
        <v>851</v>
      </c>
      <c r="I10" s="1250" t="s">
        <v>85</v>
      </c>
      <c r="J10" s="1250" t="s">
        <v>305</v>
      </c>
      <c r="K10" s="1253">
        <v>2</v>
      </c>
      <c r="L10" s="1251"/>
      <c r="M10" s="362"/>
      <c r="N10" s="362"/>
      <c r="O10" s="362"/>
      <c r="P10" s="362"/>
      <c r="Q10" s="362"/>
      <c r="R10" s="363"/>
      <c r="S10" s="363"/>
      <c r="T10" s="363"/>
      <c r="U10" s="363"/>
      <c r="V10" s="363"/>
      <c r="W10" s="363"/>
      <c r="X10" s="363"/>
      <c r="Y10" s="363"/>
      <c r="Z10" s="363"/>
      <c r="AA10" s="363"/>
      <c r="AB10" s="363">
        <v>44</v>
      </c>
      <c r="AC10" s="363">
        <v>44</v>
      </c>
      <c r="AD10" s="363">
        <v>44</v>
      </c>
      <c r="AE10" s="363">
        <v>44</v>
      </c>
      <c r="AF10" s="363">
        <v>44</v>
      </c>
      <c r="AG10" s="363">
        <v>44</v>
      </c>
      <c r="AH10" s="363">
        <v>44</v>
      </c>
      <c r="AI10" s="363">
        <v>44</v>
      </c>
      <c r="AJ10" s="363">
        <v>44</v>
      </c>
      <c r="AK10" s="363">
        <v>44</v>
      </c>
      <c r="AL10" s="363">
        <v>44</v>
      </c>
      <c r="AM10" s="363">
        <v>44</v>
      </c>
      <c r="AN10" s="363">
        <v>44</v>
      </c>
      <c r="AO10" s="363">
        <v>44</v>
      </c>
      <c r="AP10" s="363">
        <v>44</v>
      </c>
      <c r="AQ10" s="363">
        <v>44</v>
      </c>
      <c r="AR10" s="363">
        <v>44</v>
      </c>
      <c r="AS10" s="363">
        <v>44</v>
      </c>
      <c r="AT10" s="363">
        <v>44</v>
      </c>
      <c r="AU10" s="363">
        <v>44</v>
      </c>
      <c r="AV10" s="363">
        <v>44</v>
      </c>
      <c r="AW10" s="363">
        <v>44</v>
      </c>
      <c r="AX10" s="363">
        <v>44</v>
      </c>
      <c r="AY10" s="363">
        <v>44</v>
      </c>
      <c r="AZ10" s="363">
        <v>44</v>
      </c>
      <c r="BA10" s="363">
        <v>44</v>
      </c>
      <c r="BB10" s="363">
        <v>44</v>
      </c>
      <c r="BC10" s="363">
        <v>44</v>
      </c>
      <c r="BD10" s="363">
        <v>44</v>
      </c>
      <c r="BE10" s="363">
        <v>44</v>
      </c>
      <c r="BF10" s="363">
        <v>44</v>
      </c>
      <c r="BG10" s="363">
        <v>44</v>
      </c>
      <c r="BH10" s="363">
        <v>44</v>
      </c>
      <c r="BI10" s="363">
        <v>44</v>
      </c>
      <c r="BJ10" s="363">
        <v>44</v>
      </c>
      <c r="BK10" s="363">
        <v>44</v>
      </c>
      <c r="BL10" s="363">
        <v>44</v>
      </c>
      <c r="BM10" s="363">
        <v>44</v>
      </c>
      <c r="BN10" s="363">
        <v>44</v>
      </c>
      <c r="BO10" s="363">
        <v>44</v>
      </c>
      <c r="BP10" s="363">
        <v>44</v>
      </c>
      <c r="BQ10" s="363">
        <v>44</v>
      </c>
      <c r="BR10" s="363">
        <v>44</v>
      </c>
      <c r="BS10" s="363">
        <v>44</v>
      </c>
      <c r="BT10" s="363">
        <v>44</v>
      </c>
      <c r="BU10" s="363">
        <v>44</v>
      </c>
      <c r="BV10" s="363">
        <v>44</v>
      </c>
      <c r="BW10" s="363">
        <v>44</v>
      </c>
      <c r="BX10" s="363">
        <v>44</v>
      </c>
      <c r="BY10" s="363">
        <v>44</v>
      </c>
      <c r="BZ10" s="363">
        <v>44</v>
      </c>
      <c r="CA10" s="363">
        <v>44</v>
      </c>
      <c r="CB10" s="363">
        <v>44</v>
      </c>
      <c r="CC10" s="363">
        <v>44</v>
      </c>
      <c r="CD10" s="363">
        <v>44</v>
      </c>
      <c r="CE10" s="363">
        <v>44</v>
      </c>
      <c r="CF10" s="363">
        <v>44</v>
      </c>
      <c r="CG10" s="363">
        <v>44</v>
      </c>
      <c r="CH10" s="363">
        <v>44</v>
      </c>
      <c r="CI10" s="363">
        <v>44</v>
      </c>
      <c r="CJ10" s="363">
        <v>44</v>
      </c>
      <c r="CK10" s="363">
        <v>44</v>
      </c>
      <c r="CL10" s="363">
        <v>44</v>
      </c>
      <c r="CM10" s="363">
        <v>44</v>
      </c>
      <c r="CN10" s="363">
        <v>44</v>
      </c>
    </row>
    <row r="11" spans="2:92" ht="42" hidden="1" x14ac:dyDescent="0.35">
      <c r="B11"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52cP</v>
      </c>
      <c r="C11" s="1248" t="s">
        <v>2176</v>
      </c>
      <c r="D11" s="1613" t="s">
        <v>2174</v>
      </c>
      <c r="E11" s="1249" t="s">
        <v>1213</v>
      </c>
      <c r="F11" s="1247" t="str">
        <f>VLOOKUP(TBL5_OptBen[[#This Row],[Option Type (defined list)]],'Option Typs_Grps'!B$2:C$47, 2, FALSE)</f>
        <v>Distribution Options</v>
      </c>
      <c r="G11" s="1248" t="s">
        <v>852</v>
      </c>
      <c r="H11" s="1248" t="s">
        <v>851</v>
      </c>
      <c r="I11" s="1250" t="s">
        <v>85</v>
      </c>
      <c r="J11" s="1250" t="s">
        <v>305</v>
      </c>
      <c r="K11" s="1253">
        <v>2</v>
      </c>
      <c r="L11" s="362"/>
      <c r="M11" s="362"/>
      <c r="N11" s="362"/>
      <c r="O11" s="1361"/>
      <c r="P11" s="1362"/>
      <c r="Q11" s="1363"/>
      <c r="R11" s="1364"/>
      <c r="S11" s="363"/>
      <c r="T11" s="363"/>
      <c r="U11" s="363"/>
      <c r="V11" s="363"/>
      <c r="W11" s="1470"/>
      <c r="X11" s="363">
        <v>25</v>
      </c>
      <c r="Y11" s="363">
        <v>26</v>
      </c>
      <c r="Z11" s="363">
        <v>26</v>
      </c>
      <c r="AA11" s="363">
        <v>26</v>
      </c>
      <c r="AB11" s="363">
        <v>26</v>
      </c>
      <c r="AC11" s="363">
        <v>0</v>
      </c>
      <c r="AD11" s="363">
        <v>0</v>
      </c>
      <c r="AE11" s="363">
        <v>0</v>
      </c>
      <c r="AF11" s="363">
        <v>0</v>
      </c>
      <c r="AG11" s="363">
        <v>0</v>
      </c>
      <c r="AH11" s="363">
        <v>0</v>
      </c>
      <c r="AI11" s="363">
        <v>0</v>
      </c>
      <c r="AJ11" s="363">
        <v>0</v>
      </c>
      <c r="AK11" s="363">
        <v>0</v>
      </c>
      <c r="AL11" s="363">
        <v>0</v>
      </c>
      <c r="AM11" s="363">
        <v>0</v>
      </c>
      <c r="AN11" s="363">
        <v>0</v>
      </c>
      <c r="AO11" s="363">
        <v>0</v>
      </c>
      <c r="AP11" s="363">
        <v>0</v>
      </c>
      <c r="AQ11" s="363">
        <v>0</v>
      </c>
      <c r="AR11" s="363">
        <v>0</v>
      </c>
      <c r="AS11" s="363">
        <v>0</v>
      </c>
      <c r="AT11" s="363">
        <v>0</v>
      </c>
      <c r="AU11" s="363">
        <v>0</v>
      </c>
      <c r="AV11" s="363">
        <v>0</v>
      </c>
      <c r="AW11" s="363">
        <v>0</v>
      </c>
      <c r="AX11" s="363">
        <v>0</v>
      </c>
      <c r="AY11" s="363">
        <v>0</v>
      </c>
      <c r="AZ11" s="363">
        <v>0</v>
      </c>
      <c r="BA11" s="363">
        <v>0</v>
      </c>
      <c r="BB11" s="363">
        <v>0</v>
      </c>
      <c r="BC11" s="363">
        <v>0</v>
      </c>
      <c r="BD11" s="363">
        <v>0</v>
      </c>
      <c r="BE11" s="363">
        <v>0</v>
      </c>
      <c r="BF11" s="363">
        <v>0</v>
      </c>
      <c r="BG11" s="363">
        <v>0</v>
      </c>
      <c r="BH11" s="363">
        <v>0</v>
      </c>
      <c r="BI11" s="363">
        <v>0</v>
      </c>
      <c r="BJ11" s="363">
        <v>0</v>
      </c>
      <c r="BK11" s="363">
        <v>0</v>
      </c>
      <c r="BL11" s="363">
        <v>0</v>
      </c>
      <c r="BM11" s="363">
        <v>0</v>
      </c>
      <c r="BN11" s="363">
        <v>0</v>
      </c>
      <c r="BO11" s="363">
        <v>0</v>
      </c>
      <c r="BP11" s="363">
        <v>0</v>
      </c>
      <c r="BQ11" s="363">
        <v>0</v>
      </c>
      <c r="BR11" s="363">
        <v>0</v>
      </c>
      <c r="BS11" s="363">
        <v>0</v>
      </c>
      <c r="BT11" s="363">
        <v>0</v>
      </c>
      <c r="BU11" s="363">
        <v>0</v>
      </c>
      <c r="BV11" s="363">
        <v>0</v>
      </c>
      <c r="BW11" s="363">
        <v>0</v>
      </c>
      <c r="BX11" s="363">
        <v>0</v>
      </c>
      <c r="BY11" s="363">
        <v>0</v>
      </c>
      <c r="BZ11" s="363">
        <v>0</v>
      </c>
      <c r="CA11" s="363">
        <v>0</v>
      </c>
      <c r="CB11" s="363">
        <v>0</v>
      </c>
      <c r="CC11" s="363">
        <v>0</v>
      </c>
      <c r="CD11" s="363">
        <v>0</v>
      </c>
      <c r="CE11" s="363">
        <v>0</v>
      </c>
      <c r="CF11" s="363">
        <v>0</v>
      </c>
      <c r="CG11" s="363">
        <v>0</v>
      </c>
      <c r="CH11" s="363">
        <v>0</v>
      </c>
      <c r="CI11" s="363">
        <v>0</v>
      </c>
      <c r="CJ11" s="363">
        <v>0</v>
      </c>
      <c r="CK11" s="363">
        <v>0</v>
      </c>
      <c r="CL11" s="363">
        <v>0</v>
      </c>
      <c r="CM11" s="363">
        <v>0</v>
      </c>
      <c r="CN11" s="363">
        <v>0</v>
      </c>
    </row>
    <row r="12" spans="2:92" ht="48" customHeight="1" x14ac:dyDescent="0.35">
      <c r="B12"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52aA</v>
      </c>
      <c r="C12" s="1248" t="s">
        <v>862</v>
      </c>
      <c r="D12" s="1248" t="s">
        <v>861</v>
      </c>
      <c r="E12" s="1249" t="s">
        <v>848</v>
      </c>
      <c r="F12" s="1247" t="str">
        <f>VLOOKUP(TBL5_OptBen[[#This Row],[Option Type (defined list)]],'Option Typs_Grps'!B$2:C$47, 2, FALSE)</f>
        <v>Resource Options</v>
      </c>
      <c r="G12" s="1248" t="s">
        <v>852</v>
      </c>
      <c r="H12" s="1248" t="s">
        <v>1466</v>
      </c>
      <c r="I12" s="1250" t="s">
        <v>85</v>
      </c>
      <c r="J12" s="1250" t="s">
        <v>305</v>
      </c>
      <c r="K12" s="1253">
        <v>2</v>
      </c>
      <c r="L12" s="362"/>
      <c r="M12" s="362"/>
      <c r="N12" s="362"/>
      <c r="O12" s="1361"/>
      <c r="P12" s="1362"/>
      <c r="Q12" s="1363"/>
      <c r="R12" s="1364"/>
      <c r="S12" s="363"/>
      <c r="T12" s="363"/>
      <c r="U12" s="363"/>
      <c r="V12" s="363"/>
      <c r="W12" s="363"/>
      <c r="X12" s="363"/>
      <c r="Y12" s="363"/>
      <c r="Z12" s="363"/>
      <c r="AA12" s="363"/>
      <c r="AB12" s="363"/>
      <c r="AC12" s="363"/>
      <c r="AD12" s="363"/>
      <c r="AE12" s="363"/>
      <c r="AF12" s="363"/>
      <c r="AG12" s="363"/>
      <c r="AH12" s="363"/>
      <c r="AI12" s="363"/>
      <c r="AJ12" s="363"/>
      <c r="AK12" s="363"/>
      <c r="AL12" s="363"/>
      <c r="AM12" s="363"/>
      <c r="AN12" s="363"/>
      <c r="AO12" s="363"/>
      <c r="AP12" s="363"/>
      <c r="AQ12" s="363"/>
      <c r="AR12" s="363"/>
      <c r="AS12" s="363"/>
      <c r="AT12" s="363"/>
      <c r="AU12" s="363"/>
      <c r="AV12" s="363"/>
      <c r="AW12" s="363"/>
      <c r="AX12" s="363"/>
      <c r="AY12" s="363"/>
      <c r="AZ12" s="363"/>
      <c r="BA12" s="363"/>
      <c r="BB12" s="363"/>
      <c r="BC12" s="363"/>
      <c r="BD12" s="363"/>
      <c r="BE12" s="363"/>
      <c r="BF12" s="363"/>
      <c r="BG12" s="363"/>
      <c r="BH12" s="363"/>
      <c r="BI12" s="363"/>
      <c r="BJ12" s="363">
        <v>2</v>
      </c>
      <c r="BK12" s="363">
        <v>2</v>
      </c>
      <c r="BL12" s="363">
        <v>2</v>
      </c>
      <c r="BM12" s="363">
        <v>2</v>
      </c>
      <c r="BN12" s="363">
        <v>2</v>
      </c>
      <c r="BO12" s="363">
        <v>2</v>
      </c>
      <c r="BP12" s="364">
        <v>2</v>
      </c>
      <c r="BQ12" s="350">
        <v>2</v>
      </c>
      <c r="BR12" s="350">
        <v>2</v>
      </c>
      <c r="BS12" s="350">
        <v>2</v>
      </c>
      <c r="BT12" s="350">
        <v>2</v>
      </c>
      <c r="BU12" s="350">
        <v>2</v>
      </c>
      <c r="BV12" s="350">
        <v>2</v>
      </c>
      <c r="BW12" s="350">
        <v>2</v>
      </c>
      <c r="BX12" s="350">
        <v>2</v>
      </c>
      <c r="BY12" s="350">
        <v>2</v>
      </c>
      <c r="BZ12" s="350">
        <v>2</v>
      </c>
      <c r="CA12" s="350">
        <v>2</v>
      </c>
      <c r="CB12" s="350">
        <v>2</v>
      </c>
      <c r="CC12" s="350">
        <v>2</v>
      </c>
      <c r="CD12" s="350">
        <v>2</v>
      </c>
      <c r="CE12" s="350">
        <v>2</v>
      </c>
      <c r="CF12" s="350">
        <v>2</v>
      </c>
      <c r="CG12" s="350">
        <v>2</v>
      </c>
      <c r="CH12" s="350">
        <v>2</v>
      </c>
      <c r="CI12" s="350">
        <v>2</v>
      </c>
      <c r="CJ12" s="350">
        <v>2</v>
      </c>
      <c r="CK12" s="350">
        <v>2</v>
      </c>
      <c r="CL12" s="350">
        <v>2</v>
      </c>
      <c r="CM12" s="350">
        <v>2</v>
      </c>
      <c r="CN12" s="365">
        <v>2</v>
      </c>
    </row>
    <row r="13" spans="2:92" ht="48" customHeight="1" x14ac:dyDescent="0.35">
      <c r="B13"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52aA</v>
      </c>
      <c r="C13" s="1248" t="s">
        <v>1072</v>
      </c>
      <c r="D13" s="1248" t="s">
        <v>1071</v>
      </c>
      <c r="E13" s="1249" t="s">
        <v>1059</v>
      </c>
      <c r="F13" s="1247" t="str">
        <f>VLOOKUP(TBL5_OptBen[[#This Row],[Option Type (defined list)]],'Option Typs_Grps'!B$2:C$47, 2, FALSE)</f>
        <v>Resource Options</v>
      </c>
      <c r="G13" s="1248" t="s">
        <v>852</v>
      </c>
      <c r="H13" s="1248" t="s">
        <v>1466</v>
      </c>
      <c r="I13" s="1250" t="s">
        <v>85</v>
      </c>
      <c r="J13" s="1250" t="s">
        <v>305</v>
      </c>
      <c r="K13" s="1253">
        <v>2</v>
      </c>
      <c r="L13" s="362"/>
      <c r="M13" s="362"/>
      <c r="N13" s="362"/>
      <c r="O13" s="1361"/>
      <c r="P13" s="1362"/>
      <c r="Q13" s="1363"/>
      <c r="R13" s="1364"/>
      <c r="S13" s="363"/>
      <c r="T13" s="363"/>
      <c r="U13" s="363"/>
      <c r="V13" s="363"/>
      <c r="W13" s="363"/>
      <c r="X13" s="363"/>
      <c r="Y13" s="363"/>
      <c r="Z13" s="363"/>
      <c r="AA13" s="363"/>
      <c r="AB13" s="363"/>
      <c r="AC13" s="363"/>
      <c r="AD13" s="363"/>
      <c r="AE13" s="363"/>
      <c r="AF13" s="363"/>
      <c r="AG13" s="363"/>
      <c r="AH13" s="363"/>
      <c r="AI13" s="363"/>
      <c r="AJ13" s="363"/>
      <c r="AK13" s="363"/>
      <c r="AL13" s="363"/>
      <c r="AM13" s="363"/>
      <c r="AN13" s="363"/>
      <c r="AO13" s="363"/>
      <c r="AP13" s="363"/>
      <c r="AQ13" s="363"/>
      <c r="AR13" s="363"/>
      <c r="AS13" s="363"/>
      <c r="AT13" s="363"/>
      <c r="AU13" s="363"/>
      <c r="AV13" s="363"/>
      <c r="AW13" s="363"/>
      <c r="AX13" s="363"/>
      <c r="AY13" s="363"/>
      <c r="AZ13" s="363"/>
      <c r="BA13" s="363"/>
      <c r="BB13" s="363"/>
      <c r="BC13" s="363"/>
      <c r="BD13" s="363"/>
      <c r="BE13" s="363"/>
      <c r="BF13" s="363"/>
      <c r="BG13" s="363"/>
      <c r="BH13" s="363"/>
      <c r="BI13" s="363"/>
      <c r="BJ13" s="363"/>
      <c r="BK13" s="363"/>
      <c r="BL13" s="363"/>
      <c r="BM13" s="363"/>
      <c r="BN13" s="363"/>
      <c r="BO13" s="363"/>
      <c r="BP13" s="363"/>
      <c r="BQ13" s="363"/>
      <c r="BR13" s="363"/>
      <c r="BS13" s="363"/>
      <c r="BT13" s="363"/>
      <c r="BU13" s="363"/>
      <c r="BV13" s="363"/>
      <c r="BW13" s="363"/>
      <c r="BX13" s="363">
        <v>0.5</v>
      </c>
      <c r="BY13" s="363">
        <v>0.5</v>
      </c>
      <c r="BZ13" s="363">
        <v>0.5</v>
      </c>
      <c r="CA13" s="363">
        <v>0.5</v>
      </c>
      <c r="CB13" s="363">
        <v>0.5</v>
      </c>
      <c r="CC13" s="363">
        <v>0.5</v>
      </c>
      <c r="CD13" s="363">
        <v>0.5</v>
      </c>
      <c r="CE13" s="363">
        <v>0.5</v>
      </c>
      <c r="CF13" s="363">
        <v>0.5</v>
      </c>
      <c r="CG13" s="363">
        <v>0.5</v>
      </c>
      <c r="CH13" s="363">
        <v>0.5</v>
      </c>
      <c r="CI13" s="363">
        <v>0.5</v>
      </c>
      <c r="CJ13" s="363">
        <v>0.5</v>
      </c>
      <c r="CK13" s="363">
        <v>0.5</v>
      </c>
      <c r="CL13" s="363">
        <v>0.5</v>
      </c>
      <c r="CM13" s="363">
        <v>0.5</v>
      </c>
      <c r="CN13" s="363">
        <v>0.5</v>
      </c>
    </row>
    <row r="14" spans="2:92" ht="48" customHeight="1" x14ac:dyDescent="0.35">
      <c r="B14"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52aA</v>
      </c>
      <c r="C14" s="1248" t="s">
        <v>1083</v>
      </c>
      <c r="D14" s="1248" t="s">
        <v>1082</v>
      </c>
      <c r="E14" s="1249" t="s">
        <v>1059</v>
      </c>
      <c r="F14" s="1247" t="str">
        <f>VLOOKUP(TBL5_OptBen[[#This Row],[Option Type (defined list)]],'Option Typs_Grps'!B$2:C$47, 2, FALSE)</f>
        <v>Resource Options</v>
      </c>
      <c r="G14" s="1248" t="s">
        <v>852</v>
      </c>
      <c r="H14" s="1248" t="s">
        <v>1466</v>
      </c>
      <c r="I14" s="1250" t="s">
        <v>85</v>
      </c>
      <c r="J14" s="1250" t="s">
        <v>305</v>
      </c>
      <c r="K14" s="1253">
        <v>2</v>
      </c>
      <c r="L14" s="362"/>
      <c r="M14" s="362"/>
      <c r="N14" s="362"/>
      <c r="O14" s="1361"/>
      <c r="P14" s="1362"/>
      <c r="Q14" s="1363"/>
      <c r="R14" s="1364"/>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3"/>
      <c r="AY14" s="363"/>
      <c r="AZ14" s="363"/>
      <c r="BA14" s="363"/>
      <c r="BB14" s="363"/>
      <c r="BC14" s="363"/>
      <c r="BD14" s="363"/>
      <c r="BE14" s="363"/>
      <c r="BF14" s="363"/>
      <c r="BG14" s="363"/>
      <c r="BH14" s="363"/>
      <c r="BI14" s="363"/>
      <c r="BJ14" s="363"/>
      <c r="BK14" s="363"/>
      <c r="BL14" s="363"/>
      <c r="BM14" s="363"/>
      <c r="BN14" s="363"/>
      <c r="BO14" s="363"/>
      <c r="BP14" s="363"/>
      <c r="BQ14" s="363"/>
      <c r="BR14" s="363"/>
      <c r="BS14" s="363"/>
      <c r="BT14" s="363"/>
      <c r="BU14" s="363"/>
      <c r="BV14" s="363"/>
      <c r="BW14" s="363"/>
      <c r="BX14" s="363"/>
      <c r="BY14" s="363"/>
      <c r="BZ14" s="363"/>
      <c r="CA14" s="363"/>
      <c r="CB14" s="363"/>
      <c r="CC14" s="363">
        <v>0.9</v>
      </c>
      <c r="CD14" s="363">
        <v>0.9</v>
      </c>
      <c r="CE14" s="363">
        <v>0.9</v>
      </c>
      <c r="CF14" s="363">
        <v>0.9</v>
      </c>
      <c r="CG14" s="363">
        <v>0.9</v>
      </c>
      <c r="CH14" s="363">
        <v>0.9</v>
      </c>
      <c r="CI14" s="363">
        <v>0.9</v>
      </c>
      <c r="CJ14" s="363">
        <v>0.9</v>
      </c>
      <c r="CK14" s="363">
        <v>0.9</v>
      </c>
      <c r="CL14" s="363">
        <v>0.9</v>
      </c>
      <c r="CM14" s="363">
        <v>0.9</v>
      </c>
      <c r="CN14" s="363">
        <v>0.9</v>
      </c>
    </row>
    <row r="15" spans="2:92" ht="48" hidden="1" customHeight="1" x14ac:dyDescent="0.35">
      <c r="B15"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52aA</v>
      </c>
      <c r="C15" s="1248" t="s">
        <v>1159</v>
      </c>
      <c r="D15" s="1248" t="s">
        <v>1158</v>
      </c>
      <c r="E15" s="1249" t="s">
        <v>889</v>
      </c>
      <c r="F15" s="1247" t="str">
        <f>VLOOKUP(TBL5_OptBen[[#This Row],[Option Type (defined list)]],'Option Typs_Grps'!B$2:C$47, 2, FALSE)</f>
        <v>Resource Options</v>
      </c>
      <c r="G15" s="1248" t="s">
        <v>852</v>
      </c>
      <c r="H15" s="1248" t="s">
        <v>1466</v>
      </c>
      <c r="I15" s="1250" t="s">
        <v>85</v>
      </c>
      <c r="J15" s="1250" t="s">
        <v>305</v>
      </c>
      <c r="K15" s="1253">
        <v>2</v>
      </c>
      <c r="L15" s="362"/>
      <c r="M15" s="362"/>
      <c r="N15" s="362"/>
      <c r="O15" s="1361"/>
      <c r="P15" s="1362"/>
      <c r="Q15" s="1363"/>
      <c r="R15" s="1364"/>
      <c r="S15" s="363"/>
      <c r="T15" s="363"/>
      <c r="U15" s="363"/>
      <c r="V15" s="363"/>
      <c r="W15" s="363"/>
      <c r="X15" s="363"/>
      <c r="Y15" s="363"/>
      <c r="Z15" s="363"/>
      <c r="AA15" s="363"/>
      <c r="AB15" s="363"/>
      <c r="AC15" s="363"/>
      <c r="AD15" s="363"/>
      <c r="AE15" s="363"/>
      <c r="AF15" s="363"/>
      <c r="AG15" s="363">
        <v>7</v>
      </c>
      <c r="AH15" s="363">
        <v>7</v>
      </c>
      <c r="AI15" s="363">
        <v>7</v>
      </c>
      <c r="AJ15" s="363">
        <v>7</v>
      </c>
      <c r="AK15" s="363">
        <v>7</v>
      </c>
      <c r="AL15" s="363">
        <v>7</v>
      </c>
      <c r="AM15" s="363">
        <v>7</v>
      </c>
      <c r="AN15" s="363">
        <v>7</v>
      </c>
      <c r="AO15" s="363">
        <v>7</v>
      </c>
      <c r="AP15" s="363">
        <v>7</v>
      </c>
      <c r="AQ15" s="363">
        <v>7</v>
      </c>
      <c r="AR15" s="363">
        <v>7</v>
      </c>
      <c r="AS15" s="363">
        <v>7</v>
      </c>
      <c r="AT15" s="363">
        <v>7</v>
      </c>
      <c r="AU15" s="363">
        <v>7</v>
      </c>
      <c r="AV15" s="363">
        <v>7</v>
      </c>
      <c r="AW15" s="363">
        <v>7</v>
      </c>
      <c r="AX15" s="363">
        <v>7</v>
      </c>
      <c r="AY15" s="363">
        <v>7</v>
      </c>
      <c r="AZ15" s="363">
        <v>7</v>
      </c>
      <c r="BA15" s="363">
        <v>7</v>
      </c>
      <c r="BB15" s="363">
        <v>7</v>
      </c>
      <c r="BC15" s="363">
        <v>7</v>
      </c>
      <c r="BD15" s="363">
        <v>7</v>
      </c>
      <c r="BE15" s="363">
        <v>7</v>
      </c>
      <c r="BF15" s="363">
        <v>7</v>
      </c>
      <c r="BG15" s="363">
        <v>7</v>
      </c>
      <c r="BH15" s="363">
        <v>7</v>
      </c>
      <c r="BI15" s="363">
        <v>7</v>
      </c>
      <c r="BJ15" s="363">
        <v>7</v>
      </c>
      <c r="BK15" s="363">
        <v>7</v>
      </c>
      <c r="BL15" s="363">
        <v>7</v>
      </c>
      <c r="BM15" s="363">
        <v>7</v>
      </c>
      <c r="BN15" s="363">
        <v>7</v>
      </c>
      <c r="BO15" s="363">
        <v>7</v>
      </c>
      <c r="BP15" s="364">
        <v>7</v>
      </c>
      <c r="BQ15" s="350">
        <v>7</v>
      </c>
      <c r="BR15" s="350">
        <v>7</v>
      </c>
      <c r="BS15" s="350">
        <v>7</v>
      </c>
      <c r="BT15" s="350">
        <v>7</v>
      </c>
      <c r="BU15" s="350">
        <v>7</v>
      </c>
      <c r="BV15" s="350">
        <v>7</v>
      </c>
      <c r="BW15" s="350">
        <v>7</v>
      </c>
      <c r="BX15" s="350">
        <v>7</v>
      </c>
      <c r="BY15" s="350">
        <v>7</v>
      </c>
      <c r="BZ15" s="350">
        <v>7</v>
      </c>
      <c r="CA15" s="350">
        <v>7</v>
      </c>
      <c r="CB15" s="350">
        <v>7</v>
      </c>
      <c r="CC15" s="350">
        <v>7</v>
      </c>
      <c r="CD15" s="350">
        <v>7</v>
      </c>
      <c r="CE15" s="350">
        <v>7</v>
      </c>
      <c r="CF15" s="350">
        <v>7</v>
      </c>
      <c r="CG15" s="350">
        <v>7</v>
      </c>
      <c r="CH15" s="350">
        <v>7</v>
      </c>
      <c r="CI15" s="350">
        <v>7</v>
      </c>
      <c r="CJ15" s="350">
        <v>7</v>
      </c>
      <c r="CK15" s="350">
        <v>7</v>
      </c>
      <c r="CL15" s="350">
        <v>7</v>
      </c>
      <c r="CM15" s="350">
        <v>7</v>
      </c>
      <c r="CN15" s="365">
        <v>7</v>
      </c>
    </row>
    <row r="16" spans="2:92" ht="48" hidden="1" customHeight="1" x14ac:dyDescent="0.35">
      <c r="B16"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52aA</v>
      </c>
      <c r="C16" s="1248" t="s">
        <v>1212</v>
      </c>
      <c r="D16" s="1248" t="s">
        <v>1211</v>
      </c>
      <c r="E16" s="1249" t="s">
        <v>893</v>
      </c>
      <c r="F16" s="1247" t="str">
        <f>VLOOKUP(TBL5_OptBen[[#This Row],[Option Type (defined list)]],'Option Typs_Grps'!B$2:C$47, 2, FALSE)</f>
        <v>Resource Options</v>
      </c>
      <c r="G16" s="1248" t="s">
        <v>852</v>
      </c>
      <c r="H16" s="1248" t="s">
        <v>1466</v>
      </c>
      <c r="I16" s="1250" t="s">
        <v>85</v>
      </c>
      <c r="J16" s="1250" t="s">
        <v>305</v>
      </c>
      <c r="K16" s="1253">
        <v>2</v>
      </c>
      <c r="L16" s="362"/>
      <c r="M16" s="362"/>
      <c r="N16" s="362"/>
      <c r="O16" s="1361"/>
      <c r="P16" s="1362"/>
      <c r="Q16" s="1363"/>
      <c r="R16" s="1364"/>
      <c r="S16" s="363"/>
      <c r="T16" s="363"/>
      <c r="U16" s="363"/>
      <c r="V16" s="363"/>
      <c r="W16" s="363"/>
      <c r="X16" s="363"/>
      <c r="Y16" s="363"/>
      <c r="Z16" s="363"/>
      <c r="AA16" s="363"/>
      <c r="AB16" s="363"/>
      <c r="AC16" s="363">
        <v>44</v>
      </c>
      <c r="AD16" s="363">
        <v>44</v>
      </c>
      <c r="AE16" s="363">
        <v>44</v>
      </c>
      <c r="AF16" s="363">
        <v>44</v>
      </c>
      <c r="AG16" s="363">
        <v>44</v>
      </c>
      <c r="AH16" s="363">
        <v>44</v>
      </c>
      <c r="AI16" s="363">
        <v>44</v>
      </c>
      <c r="AJ16" s="363">
        <v>44</v>
      </c>
      <c r="AK16" s="363">
        <v>44</v>
      </c>
      <c r="AL16" s="363">
        <v>44</v>
      </c>
      <c r="AM16" s="363">
        <v>44</v>
      </c>
      <c r="AN16" s="363">
        <v>44</v>
      </c>
      <c r="AO16" s="363">
        <v>44</v>
      </c>
      <c r="AP16" s="363">
        <v>44</v>
      </c>
      <c r="AQ16" s="363">
        <v>44</v>
      </c>
      <c r="AR16" s="363">
        <v>44</v>
      </c>
      <c r="AS16" s="363">
        <v>44</v>
      </c>
      <c r="AT16" s="363">
        <v>44</v>
      </c>
      <c r="AU16" s="363">
        <v>44</v>
      </c>
      <c r="AV16" s="363">
        <v>44</v>
      </c>
      <c r="AW16" s="363">
        <v>44</v>
      </c>
      <c r="AX16" s="363">
        <v>44</v>
      </c>
      <c r="AY16" s="363">
        <v>44</v>
      </c>
      <c r="AZ16" s="363">
        <v>44</v>
      </c>
      <c r="BA16" s="363">
        <v>44</v>
      </c>
      <c r="BB16" s="363">
        <v>44</v>
      </c>
      <c r="BC16" s="363">
        <v>44</v>
      </c>
      <c r="BD16" s="363">
        <v>44</v>
      </c>
      <c r="BE16" s="363">
        <v>44</v>
      </c>
      <c r="BF16" s="363">
        <v>44</v>
      </c>
      <c r="BG16" s="363">
        <v>44</v>
      </c>
      <c r="BH16" s="363">
        <v>44</v>
      </c>
      <c r="BI16" s="363">
        <v>44</v>
      </c>
      <c r="BJ16" s="363">
        <v>44</v>
      </c>
      <c r="BK16" s="363">
        <v>44</v>
      </c>
      <c r="BL16" s="363">
        <v>44</v>
      </c>
      <c r="BM16" s="363">
        <v>44</v>
      </c>
      <c r="BN16" s="363">
        <v>44</v>
      </c>
      <c r="BO16" s="363">
        <v>44</v>
      </c>
      <c r="BP16" s="363">
        <v>44</v>
      </c>
      <c r="BQ16" s="363">
        <v>44</v>
      </c>
      <c r="BR16" s="363">
        <v>44</v>
      </c>
      <c r="BS16" s="363">
        <v>44</v>
      </c>
      <c r="BT16" s="363">
        <v>44</v>
      </c>
      <c r="BU16" s="363">
        <v>44</v>
      </c>
      <c r="BV16" s="363">
        <v>44</v>
      </c>
      <c r="BW16" s="363">
        <v>44</v>
      </c>
      <c r="BX16" s="363">
        <v>44</v>
      </c>
      <c r="BY16" s="363">
        <v>44</v>
      </c>
      <c r="BZ16" s="363">
        <v>44</v>
      </c>
      <c r="CA16" s="363">
        <v>44</v>
      </c>
      <c r="CB16" s="363">
        <v>44</v>
      </c>
      <c r="CC16" s="363">
        <v>44</v>
      </c>
      <c r="CD16" s="363">
        <v>44</v>
      </c>
      <c r="CE16" s="363">
        <v>44</v>
      </c>
      <c r="CF16" s="363">
        <v>44</v>
      </c>
      <c r="CG16" s="363">
        <v>44</v>
      </c>
      <c r="CH16" s="363">
        <v>44</v>
      </c>
      <c r="CI16" s="363">
        <v>44</v>
      </c>
      <c r="CJ16" s="363">
        <v>44</v>
      </c>
      <c r="CK16" s="363">
        <v>44</v>
      </c>
      <c r="CL16" s="363">
        <v>44</v>
      </c>
      <c r="CM16" s="363">
        <v>44</v>
      </c>
      <c r="CN16" s="363">
        <v>44</v>
      </c>
    </row>
    <row r="17" spans="2:92" ht="48" hidden="1" customHeight="1" x14ac:dyDescent="0.35">
      <c r="B17"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52cA</v>
      </c>
      <c r="C17" s="1248" t="s">
        <v>2176</v>
      </c>
      <c r="D17" s="1613" t="s">
        <v>2174</v>
      </c>
      <c r="E17" s="1249" t="s">
        <v>1213</v>
      </c>
      <c r="F17" s="1247" t="str">
        <f>VLOOKUP(TBL5_OptBen[[#This Row],[Option Type (defined list)]],'Option Typs_Grps'!B$2:C$47, 2, FALSE)</f>
        <v>Distribution Options</v>
      </c>
      <c r="G17" s="1248" t="s">
        <v>852</v>
      </c>
      <c r="H17" s="1248" t="s">
        <v>1466</v>
      </c>
      <c r="I17" s="1250" t="s">
        <v>85</v>
      </c>
      <c r="J17" s="1250" t="s">
        <v>305</v>
      </c>
      <c r="K17" s="1253">
        <v>2</v>
      </c>
      <c r="L17" s="362"/>
      <c r="M17" s="362"/>
      <c r="N17" s="362"/>
      <c r="O17" s="1361"/>
      <c r="P17" s="1362"/>
      <c r="Q17" s="1363"/>
      <c r="R17" s="1364"/>
      <c r="S17" s="363"/>
      <c r="T17" s="363"/>
      <c r="U17" s="363"/>
      <c r="V17" s="363"/>
      <c r="W17" s="363"/>
      <c r="X17" s="363">
        <v>25</v>
      </c>
      <c r="Y17" s="363">
        <v>26</v>
      </c>
      <c r="Z17" s="363">
        <v>26</v>
      </c>
      <c r="AA17" s="363">
        <v>26</v>
      </c>
      <c r="AB17" s="363">
        <v>26</v>
      </c>
      <c r="AC17" s="363">
        <v>0</v>
      </c>
      <c r="AD17" s="363">
        <v>0</v>
      </c>
      <c r="AE17" s="363">
        <v>0</v>
      </c>
      <c r="AF17" s="363">
        <v>0</v>
      </c>
      <c r="AG17" s="363">
        <v>0</v>
      </c>
      <c r="AH17" s="363">
        <v>0</v>
      </c>
      <c r="AI17" s="363">
        <v>0</v>
      </c>
      <c r="AJ17" s="363">
        <v>0</v>
      </c>
      <c r="AK17" s="363">
        <v>0</v>
      </c>
      <c r="AL17" s="363">
        <v>0</v>
      </c>
      <c r="AM17" s="363">
        <v>0</v>
      </c>
      <c r="AN17" s="363">
        <v>0</v>
      </c>
      <c r="AO17" s="363">
        <v>0</v>
      </c>
      <c r="AP17" s="363">
        <v>0</v>
      </c>
      <c r="AQ17" s="363">
        <v>0</v>
      </c>
      <c r="AR17" s="363">
        <v>0</v>
      </c>
      <c r="AS17" s="363">
        <v>0</v>
      </c>
      <c r="AT17" s="363">
        <v>0</v>
      </c>
      <c r="AU17" s="363">
        <v>0</v>
      </c>
      <c r="AV17" s="363">
        <v>0</v>
      </c>
      <c r="AW17" s="363">
        <v>0</v>
      </c>
      <c r="AX17" s="363">
        <v>0</v>
      </c>
      <c r="AY17" s="363">
        <v>0</v>
      </c>
      <c r="AZ17" s="363">
        <v>0</v>
      </c>
      <c r="BA17" s="363">
        <v>0</v>
      </c>
      <c r="BB17" s="363">
        <v>0</v>
      </c>
      <c r="BC17" s="363">
        <v>0</v>
      </c>
      <c r="BD17" s="363">
        <v>0</v>
      </c>
      <c r="BE17" s="363">
        <v>0</v>
      </c>
      <c r="BF17" s="363">
        <v>0</v>
      </c>
      <c r="BG17" s="363">
        <v>0</v>
      </c>
      <c r="BH17" s="363">
        <v>0</v>
      </c>
      <c r="BI17" s="363">
        <v>0</v>
      </c>
      <c r="BJ17" s="363">
        <v>0</v>
      </c>
      <c r="BK17" s="363">
        <v>0</v>
      </c>
      <c r="BL17" s="363">
        <v>0</v>
      </c>
      <c r="BM17" s="363">
        <v>0</v>
      </c>
      <c r="BN17" s="363">
        <v>0</v>
      </c>
      <c r="BO17" s="363">
        <v>0</v>
      </c>
      <c r="BP17" s="363">
        <v>0</v>
      </c>
      <c r="BQ17" s="363">
        <v>0</v>
      </c>
      <c r="BR17" s="363">
        <v>0</v>
      </c>
      <c r="BS17" s="363">
        <v>0</v>
      </c>
      <c r="BT17" s="363">
        <v>0</v>
      </c>
      <c r="BU17" s="363">
        <v>0</v>
      </c>
      <c r="BV17" s="363">
        <v>0</v>
      </c>
      <c r="BW17" s="363">
        <v>0</v>
      </c>
      <c r="BX17" s="363">
        <v>0</v>
      </c>
      <c r="BY17" s="363">
        <v>0</v>
      </c>
      <c r="BZ17" s="363">
        <v>0</v>
      </c>
      <c r="CA17" s="363">
        <v>0</v>
      </c>
      <c r="CB17" s="363">
        <v>0</v>
      </c>
      <c r="CC17" s="363">
        <v>0</v>
      </c>
      <c r="CD17" s="363">
        <v>0</v>
      </c>
      <c r="CE17" s="363">
        <v>0</v>
      </c>
      <c r="CF17" s="363">
        <v>0</v>
      </c>
      <c r="CG17" s="363">
        <v>0</v>
      </c>
      <c r="CH17" s="363">
        <v>0</v>
      </c>
      <c r="CI17" s="363">
        <v>0</v>
      </c>
      <c r="CJ17" s="363">
        <v>0</v>
      </c>
      <c r="CK17" s="363">
        <v>0</v>
      </c>
      <c r="CL17" s="363">
        <v>0</v>
      </c>
      <c r="CM17" s="363">
        <v>0</v>
      </c>
      <c r="CN17" s="363">
        <v>0</v>
      </c>
    </row>
    <row r="18" spans="2:92" ht="48" customHeight="1" x14ac:dyDescent="0.35">
      <c r="B18"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52aA</v>
      </c>
      <c r="C18" s="1248" t="s">
        <v>862</v>
      </c>
      <c r="D18" s="1248" t="s">
        <v>861</v>
      </c>
      <c r="E18" s="1249" t="s">
        <v>848</v>
      </c>
      <c r="F18" s="1247" t="str">
        <f>VLOOKUP(TBL5_OptBen[[#This Row],[Option Type (defined list)]],'Option Typs_Grps'!B$2:C$47, 2, FALSE)</f>
        <v>Resource Options</v>
      </c>
      <c r="G18" s="1248" t="s">
        <v>852</v>
      </c>
      <c r="H18" s="1248" t="s">
        <v>1523</v>
      </c>
      <c r="I18" s="1250" t="s">
        <v>85</v>
      </c>
      <c r="J18" s="1250" t="s">
        <v>305</v>
      </c>
      <c r="K18" s="1253">
        <v>2</v>
      </c>
      <c r="L18" s="362"/>
      <c r="M18" s="362"/>
      <c r="N18" s="362"/>
      <c r="O18" s="1361"/>
      <c r="P18" s="1362"/>
      <c r="Q18" s="1363"/>
      <c r="R18" s="1364"/>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c r="BB18" s="363"/>
      <c r="BC18" s="363"/>
      <c r="BD18" s="363"/>
      <c r="BE18" s="363"/>
      <c r="BF18" s="363"/>
      <c r="BG18" s="363"/>
      <c r="BH18" s="363"/>
      <c r="BI18" s="363"/>
      <c r="BJ18" s="363">
        <v>2</v>
      </c>
      <c r="BK18" s="363">
        <v>2</v>
      </c>
      <c r="BL18" s="363">
        <v>2</v>
      </c>
      <c r="BM18" s="363">
        <v>2</v>
      </c>
      <c r="BN18" s="363">
        <v>2</v>
      </c>
      <c r="BO18" s="363">
        <v>2</v>
      </c>
      <c r="BP18" s="364">
        <v>2</v>
      </c>
      <c r="BQ18" s="350">
        <v>2</v>
      </c>
      <c r="BR18" s="350">
        <v>2</v>
      </c>
      <c r="BS18" s="350">
        <v>2</v>
      </c>
      <c r="BT18" s="350">
        <v>2</v>
      </c>
      <c r="BU18" s="350">
        <v>2</v>
      </c>
      <c r="BV18" s="350">
        <v>2</v>
      </c>
      <c r="BW18" s="350">
        <v>2</v>
      </c>
      <c r="BX18" s="350">
        <v>2</v>
      </c>
      <c r="BY18" s="350">
        <v>2</v>
      </c>
      <c r="BZ18" s="350">
        <v>2</v>
      </c>
      <c r="CA18" s="350">
        <v>2</v>
      </c>
      <c r="CB18" s="350">
        <v>2</v>
      </c>
      <c r="CC18" s="350">
        <v>2</v>
      </c>
      <c r="CD18" s="350">
        <v>2</v>
      </c>
      <c r="CE18" s="350">
        <v>2</v>
      </c>
      <c r="CF18" s="350">
        <v>2</v>
      </c>
      <c r="CG18" s="350">
        <v>2</v>
      </c>
      <c r="CH18" s="350">
        <v>2</v>
      </c>
      <c r="CI18" s="350">
        <v>2</v>
      </c>
      <c r="CJ18" s="350">
        <v>2</v>
      </c>
      <c r="CK18" s="350">
        <v>2</v>
      </c>
      <c r="CL18" s="350">
        <v>2</v>
      </c>
      <c r="CM18" s="350">
        <v>2</v>
      </c>
      <c r="CN18" s="365">
        <v>2</v>
      </c>
    </row>
    <row r="19" spans="2:92" ht="48" customHeight="1" x14ac:dyDescent="0.35">
      <c r="B19"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52aA</v>
      </c>
      <c r="C19" s="1248" t="s">
        <v>1072</v>
      </c>
      <c r="D19" s="1248" t="s">
        <v>1071</v>
      </c>
      <c r="E19" s="1249" t="s">
        <v>1059</v>
      </c>
      <c r="F19" s="1247" t="str">
        <f>VLOOKUP(TBL5_OptBen[[#This Row],[Option Type (defined list)]],'Option Typs_Grps'!B$2:C$47, 2, FALSE)</f>
        <v>Resource Options</v>
      </c>
      <c r="G19" s="1248" t="s">
        <v>852</v>
      </c>
      <c r="H19" s="1248" t="s">
        <v>1523</v>
      </c>
      <c r="I19" s="1250" t="s">
        <v>85</v>
      </c>
      <c r="J19" s="1250" t="s">
        <v>305</v>
      </c>
      <c r="K19" s="1253">
        <v>2</v>
      </c>
      <c r="L19" s="362"/>
      <c r="M19" s="362"/>
      <c r="N19" s="362"/>
      <c r="O19" s="1361"/>
      <c r="P19" s="1362"/>
      <c r="Q19" s="1363"/>
      <c r="R19" s="1364"/>
      <c r="S19" s="363"/>
      <c r="T19" s="363"/>
      <c r="U19" s="363"/>
      <c r="V19" s="363"/>
      <c r="W19" s="363"/>
      <c r="X19" s="363"/>
      <c r="Y19" s="363"/>
      <c r="Z19" s="363"/>
      <c r="AA19" s="363"/>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363"/>
      <c r="BA19" s="363"/>
      <c r="BB19" s="363"/>
      <c r="BC19" s="363"/>
      <c r="BD19" s="363"/>
      <c r="BE19" s="363"/>
      <c r="BF19" s="363"/>
      <c r="BG19" s="363"/>
      <c r="BH19" s="363"/>
      <c r="BI19" s="363"/>
      <c r="BJ19" s="363"/>
      <c r="BK19" s="363"/>
      <c r="BL19" s="363"/>
      <c r="BM19" s="363"/>
      <c r="BN19" s="363"/>
      <c r="BO19" s="363"/>
      <c r="BP19" s="363"/>
      <c r="BQ19" s="363"/>
      <c r="BR19" s="363"/>
      <c r="BS19" s="363"/>
      <c r="BT19" s="363"/>
      <c r="BU19" s="363"/>
      <c r="BV19" s="363"/>
      <c r="BW19" s="363"/>
      <c r="BX19" s="363">
        <v>0.5</v>
      </c>
      <c r="BY19" s="363">
        <v>0.5</v>
      </c>
      <c r="BZ19" s="363">
        <v>0.5</v>
      </c>
      <c r="CA19" s="363">
        <v>0.5</v>
      </c>
      <c r="CB19" s="363">
        <v>0.5</v>
      </c>
      <c r="CC19" s="363">
        <v>0.5</v>
      </c>
      <c r="CD19" s="363">
        <v>0.5</v>
      </c>
      <c r="CE19" s="363">
        <v>0.5</v>
      </c>
      <c r="CF19" s="363">
        <v>0.5</v>
      </c>
      <c r="CG19" s="363">
        <v>0.5</v>
      </c>
      <c r="CH19" s="363">
        <v>0.5</v>
      </c>
      <c r="CI19" s="363">
        <v>0.5</v>
      </c>
      <c r="CJ19" s="363">
        <v>0.5</v>
      </c>
      <c r="CK19" s="363">
        <v>0.5</v>
      </c>
      <c r="CL19" s="363">
        <v>0.5</v>
      </c>
      <c r="CM19" s="363">
        <v>0.5</v>
      </c>
      <c r="CN19" s="363">
        <v>0.5</v>
      </c>
    </row>
    <row r="20" spans="2:92" ht="48" customHeight="1" x14ac:dyDescent="0.35">
      <c r="B20"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52aA</v>
      </c>
      <c r="C20" s="1248" t="s">
        <v>1083</v>
      </c>
      <c r="D20" s="1248" t="s">
        <v>1082</v>
      </c>
      <c r="E20" s="1249" t="s">
        <v>1059</v>
      </c>
      <c r="F20" s="1247" t="str">
        <f>VLOOKUP(TBL5_OptBen[[#This Row],[Option Type (defined list)]],'Option Typs_Grps'!B$2:C$47, 2, FALSE)</f>
        <v>Resource Options</v>
      </c>
      <c r="G20" s="1248" t="s">
        <v>852</v>
      </c>
      <c r="H20" s="1248" t="s">
        <v>1523</v>
      </c>
      <c r="I20" s="1250" t="s">
        <v>85</v>
      </c>
      <c r="J20" s="1250" t="s">
        <v>305</v>
      </c>
      <c r="K20" s="1253">
        <v>2</v>
      </c>
      <c r="L20" s="362"/>
      <c r="M20" s="362"/>
      <c r="N20" s="362"/>
      <c r="O20" s="1361"/>
      <c r="P20" s="1362"/>
      <c r="Q20" s="1363"/>
      <c r="R20" s="1364"/>
      <c r="S20" s="363"/>
      <c r="T20" s="363"/>
      <c r="U20" s="363"/>
      <c r="V20" s="363"/>
      <c r="W20" s="363"/>
      <c r="X20" s="363"/>
      <c r="Y20" s="363"/>
      <c r="Z20" s="363"/>
      <c r="AA20" s="363"/>
      <c r="AB20" s="363"/>
      <c r="AC20" s="363"/>
      <c r="AD20" s="363"/>
      <c r="AE20" s="363"/>
      <c r="AF20" s="363"/>
      <c r="AG20" s="363"/>
      <c r="AH20" s="363"/>
      <c r="AI20" s="363"/>
      <c r="AJ20" s="363"/>
      <c r="AK20" s="363"/>
      <c r="AL20" s="363"/>
      <c r="AM20" s="363"/>
      <c r="AN20" s="363"/>
      <c r="AO20" s="363"/>
      <c r="AP20" s="363"/>
      <c r="AQ20" s="363"/>
      <c r="AR20" s="363"/>
      <c r="AS20" s="363"/>
      <c r="AT20" s="363"/>
      <c r="AU20" s="363"/>
      <c r="AV20" s="363"/>
      <c r="AW20" s="363"/>
      <c r="AX20" s="363"/>
      <c r="AY20" s="363"/>
      <c r="AZ20" s="363"/>
      <c r="BA20" s="363"/>
      <c r="BB20" s="363"/>
      <c r="BC20" s="363"/>
      <c r="BD20" s="363"/>
      <c r="BE20" s="363"/>
      <c r="BF20" s="363"/>
      <c r="BG20" s="363"/>
      <c r="BH20" s="363"/>
      <c r="BI20" s="363"/>
      <c r="BJ20" s="363"/>
      <c r="BK20" s="363"/>
      <c r="BL20" s="363"/>
      <c r="BM20" s="363"/>
      <c r="BN20" s="363"/>
      <c r="BO20" s="363"/>
      <c r="BP20" s="363"/>
      <c r="BQ20" s="363"/>
      <c r="BR20" s="363"/>
      <c r="BS20" s="363"/>
      <c r="BT20" s="363"/>
      <c r="BU20" s="363"/>
      <c r="BV20" s="363"/>
      <c r="BW20" s="363"/>
      <c r="BX20" s="363"/>
      <c r="BY20" s="363"/>
      <c r="BZ20" s="363"/>
      <c r="CA20" s="363"/>
      <c r="CB20" s="363"/>
      <c r="CC20" s="363">
        <v>0.9</v>
      </c>
      <c r="CD20" s="363">
        <v>0.9</v>
      </c>
      <c r="CE20" s="363">
        <v>0.9</v>
      </c>
      <c r="CF20" s="363">
        <v>0.9</v>
      </c>
      <c r="CG20" s="363">
        <v>0.9</v>
      </c>
      <c r="CH20" s="363">
        <v>0.9</v>
      </c>
      <c r="CI20" s="363">
        <v>0.9</v>
      </c>
      <c r="CJ20" s="363">
        <v>0.9</v>
      </c>
      <c r="CK20" s="363">
        <v>0.9</v>
      </c>
      <c r="CL20" s="363">
        <v>0.9</v>
      </c>
      <c r="CM20" s="363">
        <v>0.9</v>
      </c>
      <c r="CN20" s="363">
        <v>0.9</v>
      </c>
    </row>
    <row r="21" spans="2:92" ht="48" hidden="1" customHeight="1" x14ac:dyDescent="0.35">
      <c r="B21"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52aA</v>
      </c>
      <c r="C21" s="1248" t="s">
        <v>1159</v>
      </c>
      <c r="D21" s="1248" t="s">
        <v>1158</v>
      </c>
      <c r="E21" s="1249" t="s">
        <v>889</v>
      </c>
      <c r="F21" s="1247" t="str">
        <f>VLOOKUP(TBL5_OptBen[[#This Row],[Option Type (defined list)]],'Option Typs_Grps'!B$2:C$47, 2, FALSE)</f>
        <v>Resource Options</v>
      </c>
      <c r="G21" s="1248" t="s">
        <v>852</v>
      </c>
      <c r="H21" s="1248" t="s">
        <v>1523</v>
      </c>
      <c r="I21" s="1250" t="s">
        <v>85</v>
      </c>
      <c r="J21" s="1250" t="s">
        <v>305</v>
      </c>
      <c r="K21" s="1253">
        <v>2</v>
      </c>
      <c r="L21" s="362"/>
      <c r="M21" s="362"/>
      <c r="N21" s="362"/>
      <c r="O21" s="1361"/>
      <c r="P21" s="1362"/>
      <c r="Q21" s="1363"/>
      <c r="R21" s="1364"/>
      <c r="S21" s="363"/>
      <c r="T21" s="363"/>
      <c r="U21" s="363"/>
      <c r="V21" s="363"/>
      <c r="W21" s="363"/>
      <c r="X21" s="363"/>
      <c r="Y21" s="363"/>
      <c r="Z21" s="363"/>
      <c r="AA21" s="363"/>
      <c r="AB21" s="363"/>
      <c r="AC21" s="363"/>
      <c r="AD21" s="363"/>
      <c r="AE21" s="363"/>
      <c r="AF21" s="363"/>
      <c r="AG21" s="363">
        <v>7</v>
      </c>
      <c r="AH21" s="363">
        <v>7</v>
      </c>
      <c r="AI21" s="363">
        <v>7</v>
      </c>
      <c r="AJ21" s="363">
        <v>7</v>
      </c>
      <c r="AK21" s="363">
        <v>7</v>
      </c>
      <c r="AL21" s="363">
        <v>7</v>
      </c>
      <c r="AM21" s="363">
        <v>7</v>
      </c>
      <c r="AN21" s="363">
        <v>7</v>
      </c>
      <c r="AO21" s="363">
        <v>7</v>
      </c>
      <c r="AP21" s="363">
        <v>7</v>
      </c>
      <c r="AQ21" s="363">
        <v>7</v>
      </c>
      <c r="AR21" s="363">
        <v>7</v>
      </c>
      <c r="AS21" s="363">
        <v>7</v>
      </c>
      <c r="AT21" s="363">
        <v>7</v>
      </c>
      <c r="AU21" s="363">
        <v>7</v>
      </c>
      <c r="AV21" s="363">
        <v>7</v>
      </c>
      <c r="AW21" s="363">
        <v>7</v>
      </c>
      <c r="AX21" s="363">
        <v>7</v>
      </c>
      <c r="AY21" s="363">
        <v>7</v>
      </c>
      <c r="AZ21" s="363">
        <v>7</v>
      </c>
      <c r="BA21" s="363">
        <v>7</v>
      </c>
      <c r="BB21" s="363">
        <v>7</v>
      </c>
      <c r="BC21" s="363">
        <v>7</v>
      </c>
      <c r="BD21" s="363">
        <v>7</v>
      </c>
      <c r="BE21" s="363">
        <v>7</v>
      </c>
      <c r="BF21" s="363">
        <v>7</v>
      </c>
      <c r="BG21" s="363">
        <v>7</v>
      </c>
      <c r="BH21" s="363">
        <v>7</v>
      </c>
      <c r="BI21" s="363">
        <v>7</v>
      </c>
      <c r="BJ21" s="363">
        <v>7</v>
      </c>
      <c r="BK21" s="363">
        <v>7</v>
      </c>
      <c r="BL21" s="363">
        <v>7</v>
      </c>
      <c r="BM21" s="363">
        <v>7</v>
      </c>
      <c r="BN21" s="363">
        <v>7</v>
      </c>
      <c r="BO21" s="363">
        <v>7</v>
      </c>
      <c r="BP21" s="364">
        <v>7</v>
      </c>
      <c r="BQ21" s="350">
        <v>7</v>
      </c>
      <c r="BR21" s="350">
        <v>7</v>
      </c>
      <c r="BS21" s="350">
        <v>7</v>
      </c>
      <c r="BT21" s="350">
        <v>7</v>
      </c>
      <c r="BU21" s="350">
        <v>7</v>
      </c>
      <c r="BV21" s="350">
        <v>7</v>
      </c>
      <c r="BW21" s="350">
        <v>7</v>
      </c>
      <c r="BX21" s="350">
        <v>7</v>
      </c>
      <c r="BY21" s="350">
        <v>7</v>
      </c>
      <c r="BZ21" s="350">
        <v>7</v>
      </c>
      <c r="CA21" s="350">
        <v>7</v>
      </c>
      <c r="CB21" s="350">
        <v>7</v>
      </c>
      <c r="CC21" s="350">
        <v>7</v>
      </c>
      <c r="CD21" s="350">
        <v>7</v>
      </c>
      <c r="CE21" s="350">
        <v>7</v>
      </c>
      <c r="CF21" s="350">
        <v>7</v>
      </c>
      <c r="CG21" s="350">
        <v>7</v>
      </c>
      <c r="CH21" s="350">
        <v>7</v>
      </c>
      <c r="CI21" s="350">
        <v>7</v>
      </c>
      <c r="CJ21" s="350">
        <v>7</v>
      </c>
      <c r="CK21" s="350">
        <v>7</v>
      </c>
      <c r="CL21" s="350">
        <v>7</v>
      </c>
      <c r="CM21" s="350">
        <v>7</v>
      </c>
      <c r="CN21" s="365">
        <v>7</v>
      </c>
    </row>
    <row r="22" spans="2:92" ht="48" hidden="1" customHeight="1" x14ac:dyDescent="0.35">
      <c r="B22"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52aA</v>
      </c>
      <c r="C22" s="1248" t="s">
        <v>1212</v>
      </c>
      <c r="D22" s="1248" t="s">
        <v>1211</v>
      </c>
      <c r="E22" s="1249" t="s">
        <v>893</v>
      </c>
      <c r="F22" s="1247" t="str">
        <f>VLOOKUP(TBL5_OptBen[[#This Row],[Option Type (defined list)]],'Option Typs_Grps'!B$2:C$47, 2, FALSE)</f>
        <v>Resource Options</v>
      </c>
      <c r="G22" s="1248" t="s">
        <v>852</v>
      </c>
      <c r="H22" s="1248" t="s">
        <v>1523</v>
      </c>
      <c r="I22" s="1250" t="s">
        <v>85</v>
      </c>
      <c r="J22" s="1250" t="s">
        <v>305</v>
      </c>
      <c r="K22" s="1253">
        <v>2</v>
      </c>
      <c r="L22" s="362"/>
      <c r="M22" s="362"/>
      <c r="N22" s="362"/>
      <c r="O22" s="1361"/>
      <c r="P22" s="1362"/>
      <c r="Q22" s="1363"/>
      <c r="R22" s="1364"/>
      <c r="S22" s="363"/>
      <c r="T22" s="363"/>
      <c r="U22" s="363"/>
      <c r="V22" s="363"/>
      <c r="W22" s="363"/>
      <c r="X22" s="363"/>
      <c r="Y22" s="363"/>
      <c r="Z22" s="363"/>
      <c r="AA22" s="363"/>
      <c r="AB22" s="363"/>
      <c r="AC22" s="363">
        <v>44</v>
      </c>
      <c r="AD22" s="363">
        <v>44</v>
      </c>
      <c r="AE22" s="363">
        <v>44</v>
      </c>
      <c r="AF22" s="363">
        <v>44</v>
      </c>
      <c r="AG22" s="363">
        <v>44</v>
      </c>
      <c r="AH22" s="363">
        <v>44</v>
      </c>
      <c r="AI22" s="363">
        <v>44</v>
      </c>
      <c r="AJ22" s="363">
        <v>44</v>
      </c>
      <c r="AK22" s="363">
        <v>44</v>
      </c>
      <c r="AL22" s="363">
        <v>44</v>
      </c>
      <c r="AM22" s="363">
        <v>44</v>
      </c>
      <c r="AN22" s="363">
        <v>44</v>
      </c>
      <c r="AO22" s="363">
        <v>44</v>
      </c>
      <c r="AP22" s="363">
        <v>44</v>
      </c>
      <c r="AQ22" s="363">
        <v>44</v>
      </c>
      <c r="AR22" s="363">
        <v>44</v>
      </c>
      <c r="AS22" s="363">
        <v>44</v>
      </c>
      <c r="AT22" s="363">
        <v>44</v>
      </c>
      <c r="AU22" s="363">
        <v>44</v>
      </c>
      <c r="AV22" s="363">
        <v>44</v>
      </c>
      <c r="AW22" s="363">
        <v>44</v>
      </c>
      <c r="AX22" s="363">
        <v>44</v>
      </c>
      <c r="AY22" s="363">
        <v>44</v>
      </c>
      <c r="AZ22" s="363">
        <v>44</v>
      </c>
      <c r="BA22" s="363">
        <v>44</v>
      </c>
      <c r="BB22" s="363">
        <v>44</v>
      </c>
      <c r="BC22" s="363">
        <v>44</v>
      </c>
      <c r="BD22" s="363">
        <v>44</v>
      </c>
      <c r="BE22" s="363">
        <v>44</v>
      </c>
      <c r="BF22" s="363">
        <v>44</v>
      </c>
      <c r="BG22" s="363">
        <v>44</v>
      </c>
      <c r="BH22" s="363">
        <v>44</v>
      </c>
      <c r="BI22" s="363">
        <v>44</v>
      </c>
      <c r="BJ22" s="363">
        <v>44</v>
      </c>
      <c r="BK22" s="363">
        <v>44</v>
      </c>
      <c r="BL22" s="363">
        <v>44</v>
      </c>
      <c r="BM22" s="363">
        <v>44</v>
      </c>
      <c r="BN22" s="363">
        <v>44</v>
      </c>
      <c r="BO22" s="363">
        <v>44</v>
      </c>
      <c r="BP22" s="363">
        <v>44</v>
      </c>
      <c r="BQ22" s="363">
        <v>44</v>
      </c>
      <c r="BR22" s="363">
        <v>44</v>
      </c>
      <c r="BS22" s="363">
        <v>44</v>
      </c>
      <c r="BT22" s="363">
        <v>44</v>
      </c>
      <c r="BU22" s="363">
        <v>44</v>
      </c>
      <c r="BV22" s="363">
        <v>44</v>
      </c>
      <c r="BW22" s="363">
        <v>44</v>
      </c>
      <c r="BX22" s="363">
        <v>44</v>
      </c>
      <c r="BY22" s="363">
        <v>44</v>
      </c>
      <c r="BZ22" s="363">
        <v>44</v>
      </c>
      <c r="CA22" s="363">
        <v>44</v>
      </c>
      <c r="CB22" s="363">
        <v>44</v>
      </c>
      <c r="CC22" s="363">
        <v>44</v>
      </c>
      <c r="CD22" s="363">
        <v>44</v>
      </c>
      <c r="CE22" s="363">
        <v>44</v>
      </c>
      <c r="CF22" s="363">
        <v>44</v>
      </c>
      <c r="CG22" s="363">
        <v>44</v>
      </c>
      <c r="CH22" s="363">
        <v>44</v>
      </c>
      <c r="CI22" s="363">
        <v>44</v>
      </c>
      <c r="CJ22" s="363">
        <v>44</v>
      </c>
      <c r="CK22" s="363">
        <v>44</v>
      </c>
      <c r="CL22" s="363">
        <v>44</v>
      </c>
      <c r="CM22" s="363">
        <v>44</v>
      </c>
      <c r="CN22" s="363">
        <v>44</v>
      </c>
    </row>
    <row r="23" spans="2:92" ht="48" hidden="1" customHeight="1" x14ac:dyDescent="0.35">
      <c r="B23"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52cA</v>
      </c>
      <c r="C23" s="1248" t="s">
        <v>2176</v>
      </c>
      <c r="D23" s="1613" t="s">
        <v>2174</v>
      </c>
      <c r="E23" s="1249" t="s">
        <v>1213</v>
      </c>
      <c r="F23" s="1247" t="str">
        <f>VLOOKUP(TBL5_OptBen[[#This Row],[Option Type (defined list)]],'Option Typs_Grps'!B$2:C$47, 2, FALSE)</f>
        <v>Distribution Options</v>
      </c>
      <c r="G23" s="1248" t="s">
        <v>852</v>
      </c>
      <c r="H23" s="1248" t="s">
        <v>1523</v>
      </c>
      <c r="I23" s="1250" t="s">
        <v>85</v>
      </c>
      <c r="J23" s="1250" t="s">
        <v>305</v>
      </c>
      <c r="K23" s="1253">
        <v>2</v>
      </c>
      <c r="L23" s="362"/>
      <c r="M23" s="362"/>
      <c r="N23" s="362"/>
      <c r="O23" s="1361"/>
      <c r="P23" s="1362"/>
      <c r="Q23" s="1363"/>
      <c r="R23" s="1364"/>
      <c r="S23" s="363"/>
      <c r="T23" s="363"/>
      <c r="U23" s="363"/>
      <c r="V23" s="363"/>
      <c r="W23" s="363"/>
      <c r="X23" s="363">
        <v>25</v>
      </c>
      <c r="Y23" s="363">
        <v>26</v>
      </c>
      <c r="Z23" s="363">
        <v>26</v>
      </c>
      <c r="AA23" s="363">
        <v>26</v>
      </c>
      <c r="AB23" s="363">
        <v>26</v>
      </c>
      <c r="AC23" s="363">
        <v>0</v>
      </c>
      <c r="AD23" s="363">
        <v>0</v>
      </c>
      <c r="AE23" s="363">
        <v>0</v>
      </c>
      <c r="AF23" s="363">
        <v>0</v>
      </c>
      <c r="AG23" s="363">
        <v>0</v>
      </c>
      <c r="AH23" s="363">
        <v>0</v>
      </c>
      <c r="AI23" s="363">
        <v>0</v>
      </c>
      <c r="AJ23" s="363">
        <v>0</v>
      </c>
      <c r="AK23" s="363">
        <v>0</v>
      </c>
      <c r="AL23" s="363">
        <v>0</v>
      </c>
      <c r="AM23" s="363">
        <v>0</v>
      </c>
      <c r="AN23" s="363">
        <v>0</v>
      </c>
      <c r="AO23" s="363">
        <v>0</v>
      </c>
      <c r="AP23" s="363">
        <v>0</v>
      </c>
      <c r="AQ23" s="363">
        <v>0</v>
      </c>
      <c r="AR23" s="363">
        <v>0</v>
      </c>
      <c r="AS23" s="363">
        <v>0</v>
      </c>
      <c r="AT23" s="363">
        <v>0</v>
      </c>
      <c r="AU23" s="363">
        <v>0</v>
      </c>
      <c r="AV23" s="363">
        <v>0</v>
      </c>
      <c r="AW23" s="363">
        <v>0</v>
      </c>
      <c r="AX23" s="363">
        <v>0</v>
      </c>
      <c r="AY23" s="363">
        <v>0</v>
      </c>
      <c r="AZ23" s="363">
        <v>0</v>
      </c>
      <c r="BA23" s="363">
        <v>0</v>
      </c>
      <c r="BB23" s="363">
        <v>0</v>
      </c>
      <c r="BC23" s="363">
        <v>0</v>
      </c>
      <c r="BD23" s="363">
        <v>0</v>
      </c>
      <c r="BE23" s="363">
        <v>0</v>
      </c>
      <c r="BF23" s="363">
        <v>0</v>
      </c>
      <c r="BG23" s="363">
        <v>0</v>
      </c>
      <c r="BH23" s="363">
        <v>0</v>
      </c>
      <c r="BI23" s="363">
        <v>0</v>
      </c>
      <c r="BJ23" s="363">
        <v>0</v>
      </c>
      <c r="BK23" s="363">
        <v>0</v>
      </c>
      <c r="BL23" s="363">
        <v>0</v>
      </c>
      <c r="BM23" s="363">
        <v>0</v>
      </c>
      <c r="BN23" s="363">
        <v>0</v>
      </c>
      <c r="BO23" s="363">
        <v>0</v>
      </c>
      <c r="BP23" s="363">
        <v>0</v>
      </c>
      <c r="BQ23" s="363">
        <v>0</v>
      </c>
      <c r="BR23" s="363">
        <v>0</v>
      </c>
      <c r="BS23" s="363">
        <v>0</v>
      </c>
      <c r="BT23" s="363">
        <v>0</v>
      </c>
      <c r="BU23" s="363">
        <v>0</v>
      </c>
      <c r="BV23" s="363">
        <v>0</v>
      </c>
      <c r="BW23" s="363">
        <v>0</v>
      </c>
      <c r="BX23" s="363">
        <v>0</v>
      </c>
      <c r="BY23" s="363">
        <v>0</v>
      </c>
      <c r="BZ23" s="363">
        <v>0</v>
      </c>
      <c r="CA23" s="363">
        <v>0</v>
      </c>
      <c r="CB23" s="363">
        <v>0</v>
      </c>
      <c r="CC23" s="363">
        <v>0</v>
      </c>
      <c r="CD23" s="363">
        <v>0</v>
      </c>
      <c r="CE23" s="363">
        <v>0</v>
      </c>
      <c r="CF23" s="363">
        <v>0</v>
      </c>
      <c r="CG23" s="363">
        <v>0</v>
      </c>
      <c r="CH23" s="363">
        <v>0</v>
      </c>
      <c r="CI23" s="363">
        <v>0</v>
      </c>
      <c r="CJ23" s="363">
        <v>0</v>
      </c>
      <c r="CK23" s="363">
        <v>0</v>
      </c>
      <c r="CL23" s="363">
        <v>0</v>
      </c>
      <c r="CM23" s="363">
        <v>0</v>
      </c>
      <c r="CN23" s="363">
        <v>0</v>
      </c>
    </row>
    <row r="24" spans="2:92" ht="28" hidden="1" x14ac:dyDescent="0.35">
      <c r="B24" s="1252" t="s">
        <v>1301</v>
      </c>
      <c r="C24" s="1248" t="s">
        <v>1415</v>
      </c>
      <c r="D24" s="1248" t="s">
        <v>2171</v>
      </c>
      <c r="E24" s="1249" t="s">
        <v>2153</v>
      </c>
      <c r="F24" s="1580" t="s">
        <v>1088</v>
      </c>
      <c r="G24" s="1248" t="s">
        <v>852</v>
      </c>
      <c r="H24" s="1248" t="s">
        <v>1466</v>
      </c>
      <c r="I24" s="1250" t="s">
        <v>85</v>
      </c>
      <c r="J24" s="1250" t="s">
        <v>305</v>
      </c>
      <c r="K24" s="1253">
        <v>2</v>
      </c>
      <c r="L24" s="362"/>
      <c r="M24" s="362"/>
      <c r="N24" s="362"/>
      <c r="O24" s="1361"/>
      <c r="P24" s="1362"/>
      <c r="Q24" s="1363"/>
      <c r="R24" s="1364">
        <v>3</v>
      </c>
      <c r="S24" s="1364">
        <v>3</v>
      </c>
      <c r="T24" s="1364">
        <v>3</v>
      </c>
      <c r="U24" s="1364">
        <v>3</v>
      </c>
      <c r="V24" s="1364">
        <v>3</v>
      </c>
      <c r="W24" s="1364">
        <v>3</v>
      </c>
      <c r="X24" s="1364">
        <v>3</v>
      </c>
      <c r="Y24" s="1364">
        <v>3</v>
      </c>
      <c r="Z24" s="1364">
        <v>3</v>
      </c>
      <c r="AA24" s="1364">
        <v>3</v>
      </c>
      <c r="AB24" s="1364">
        <v>3</v>
      </c>
      <c r="AC24" s="1364">
        <v>3</v>
      </c>
      <c r="AD24" s="1364">
        <v>3</v>
      </c>
      <c r="AE24" s="1364">
        <v>3</v>
      </c>
      <c r="AF24" s="1364">
        <v>3</v>
      </c>
      <c r="AG24" s="1364">
        <v>3</v>
      </c>
      <c r="AH24" s="1364">
        <v>3</v>
      </c>
      <c r="AI24" s="1364">
        <v>3</v>
      </c>
      <c r="AJ24" s="1364">
        <v>3</v>
      </c>
      <c r="AK24" s="1364">
        <v>3</v>
      </c>
      <c r="AL24" s="1364">
        <v>3</v>
      </c>
      <c r="AM24" s="1364">
        <v>3</v>
      </c>
      <c r="AN24" s="1364">
        <v>3</v>
      </c>
      <c r="AO24" s="1364">
        <v>3</v>
      </c>
      <c r="AP24" s="1364">
        <v>3</v>
      </c>
      <c r="AQ24" s="1364">
        <v>3</v>
      </c>
      <c r="AR24" s="1364">
        <v>3</v>
      </c>
      <c r="AS24" s="1364">
        <v>3</v>
      </c>
      <c r="AT24" s="1364">
        <v>3</v>
      </c>
      <c r="AU24" s="1364">
        <v>3</v>
      </c>
      <c r="AV24" s="1364">
        <v>3</v>
      </c>
      <c r="AW24" s="1364">
        <v>3</v>
      </c>
      <c r="AX24" s="1364">
        <v>3</v>
      </c>
      <c r="AY24" s="1364">
        <v>3</v>
      </c>
      <c r="AZ24" s="1364">
        <v>3</v>
      </c>
      <c r="BA24" s="1364">
        <v>3</v>
      </c>
      <c r="BB24" s="1364">
        <v>3</v>
      </c>
      <c r="BC24" s="1364">
        <v>3</v>
      </c>
      <c r="BD24" s="1364">
        <v>3</v>
      </c>
      <c r="BE24" s="1364">
        <v>3</v>
      </c>
      <c r="BF24" s="1364">
        <v>3</v>
      </c>
      <c r="BG24" s="1364">
        <v>3</v>
      </c>
      <c r="BH24" s="1364">
        <v>3</v>
      </c>
      <c r="BI24" s="1364">
        <v>3</v>
      </c>
      <c r="BJ24" s="1364">
        <v>3</v>
      </c>
      <c r="BK24" s="1364">
        <v>3</v>
      </c>
      <c r="BL24" s="1364">
        <v>3</v>
      </c>
      <c r="BM24" s="1364">
        <v>3</v>
      </c>
      <c r="BN24" s="1364">
        <v>3</v>
      </c>
      <c r="BO24" s="1364">
        <v>3</v>
      </c>
      <c r="BP24" s="1364">
        <v>3</v>
      </c>
      <c r="BQ24" s="1364">
        <v>3</v>
      </c>
      <c r="BR24" s="1364">
        <v>3</v>
      </c>
      <c r="BS24" s="1364">
        <v>3</v>
      </c>
      <c r="BT24" s="1364">
        <v>3</v>
      </c>
      <c r="BU24" s="1364">
        <v>3</v>
      </c>
      <c r="BV24" s="1364">
        <v>3</v>
      </c>
      <c r="BW24" s="1364">
        <v>3</v>
      </c>
      <c r="BX24" s="1364">
        <v>3</v>
      </c>
      <c r="BY24" s="1364">
        <v>3</v>
      </c>
      <c r="BZ24" s="1364">
        <v>3</v>
      </c>
      <c r="CA24" s="1364">
        <v>3</v>
      </c>
      <c r="CB24" s="1364">
        <v>3</v>
      </c>
      <c r="CC24" s="1364">
        <v>3</v>
      </c>
      <c r="CD24" s="1364">
        <v>3</v>
      </c>
      <c r="CE24" s="1364">
        <v>3</v>
      </c>
      <c r="CF24" s="1364">
        <v>3</v>
      </c>
      <c r="CG24" s="1364">
        <v>3</v>
      </c>
      <c r="CH24" s="1364">
        <v>3</v>
      </c>
      <c r="CI24" s="1364">
        <v>3</v>
      </c>
      <c r="CJ24" s="1364">
        <v>3</v>
      </c>
      <c r="CK24" s="1364">
        <v>3</v>
      </c>
      <c r="CL24" s="1364">
        <v>3</v>
      </c>
      <c r="CM24" s="1364">
        <v>3</v>
      </c>
      <c r="CN24" s="1364">
        <v>3</v>
      </c>
    </row>
    <row r="25" spans="2:92" ht="28" hidden="1" x14ac:dyDescent="0.35">
      <c r="B25" s="158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25" s="1480" t="s">
        <v>2111</v>
      </c>
      <c r="D25" s="1409" t="s">
        <v>2110</v>
      </c>
      <c r="E25" s="1249" t="s">
        <v>2153</v>
      </c>
      <c r="F25" s="1580" t="str">
        <f>VLOOKUP(TBL5_OptBen[[#This Row],[Option Type (defined list)]],'Option Typs_Grps'!B$2:C$47, 2, FALSE)</f>
        <v>Customer Options</v>
      </c>
      <c r="G25" s="1248" t="s">
        <v>852</v>
      </c>
      <c r="H25" s="1248" t="s">
        <v>851</v>
      </c>
      <c r="I25" s="1250" t="s">
        <v>85</v>
      </c>
      <c r="J25" s="1250" t="s">
        <v>305</v>
      </c>
      <c r="K25" s="1253">
        <v>2</v>
      </c>
      <c r="L25" s="362"/>
      <c r="M25" s="362"/>
      <c r="N25" s="362"/>
      <c r="O25" s="1361"/>
      <c r="P25" s="1362"/>
      <c r="Q25" s="1363"/>
      <c r="R25" s="1364">
        <v>5</v>
      </c>
      <c r="S25" s="1364">
        <v>5</v>
      </c>
      <c r="T25" s="1364">
        <v>5</v>
      </c>
      <c r="U25" s="1364">
        <v>5</v>
      </c>
      <c r="V25" s="1364">
        <v>5</v>
      </c>
      <c r="W25" s="1364">
        <v>5</v>
      </c>
      <c r="X25" s="1364">
        <v>5</v>
      </c>
      <c r="Y25" s="1364">
        <v>5</v>
      </c>
      <c r="Z25" s="1364">
        <v>5</v>
      </c>
      <c r="AA25" s="1364">
        <v>5</v>
      </c>
      <c r="AB25" s="1364">
        <v>5</v>
      </c>
      <c r="AC25" s="1364">
        <v>5</v>
      </c>
      <c r="AD25" s="1364">
        <v>5</v>
      </c>
      <c r="AE25" s="1364">
        <v>5</v>
      </c>
      <c r="AF25" s="1364">
        <v>5</v>
      </c>
      <c r="AG25" s="1364">
        <v>5</v>
      </c>
      <c r="AH25" s="1364">
        <v>5</v>
      </c>
      <c r="AI25" s="1364">
        <v>5</v>
      </c>
      <c r="AJ25" s="1364">
        <v>5</v>
      </c>
      <c r="AK25" s="1364">
        <v>5</v>
      </c>
      <c r="AL25" s="1364">
        <v>5</v>
      </c>
      <c r="AM25" s="1364">
        <v>5</v>
      </c>
      <c r="AN25" s="1364">
        <v>5</v>
      </c>
      <c r="AO25" s="1364">
        <v>5</v>
      </c>
      <c r="AP25" s="1364">
        <v>5</v>
      </c>
      <c r="AQ25" s="1364">
        <v>5</v>
      </c>
      <c r="AR25" s="1364">
        <v>5</v>
      </c>
      <c r="AS25" s="1364">
        <v>5</v>
      </c>
      <c r="AT25" s="1364">
        <v>5</v>
      </c>
      <c r="AU25" s="1364">
        <v>5</v>
      </c>
      <c r="AV25" s="1364">
        <v>5</v>
      </c>
      <c r="AW25" s="1364">
        <v>5</v>
      </c>
      <c r="AX25" s="1364">
        <v>5</v>
      </c>
      <c r="AY25" s="1364">
        <v>5</v>
      </c>
      <c r="AZ25" s="1364">
        <v>5</v>
      </c>
      <c r="BA25" s="1364">
        <v>5</v>
      </c>
      <c r="BB25" s="1364">
        <v>5</v>
      </c>
      <c r="BC25" s="1364">
        <v>5</v>
      </c>
      <c r="BD25" s="1364">
        <v>5</v>
      </c>
      <c r="BE25" s="1364">
        <v>5</v>
      </c>
      <c r="BF25" s="1364">
        <v>5</v>
      </c>
      <c r="BG25" s="1364">
        <v>5</v>
      </c>
      <c r="BH25" s="1364">
        <v>5</v>
      </c>
      <c r="BI25" s="1364">
        <v>5</v>
      </c>
      <c r="BJ25" s="1364">
        <v>5</v>
      </c>
      <c r="BK25" s="1364">
        <v>5</v>
      </c>
      <c r="BL25" s="1364">
        <v>5</v>
      </c>
      <c r="BM25" s="1364">
        <v>5</v>
      </c>
      <c r="BN25" s="1364">
        <v>5</v>
      </c>
      <c r="BO25" s="1364">
        <v>5</v>
      </c>
      <c r="BP25" s="1364">
        <v>5</v>
      </c>
      <c r="BQ25" s="1364">
        <v>5</v>
      </c>
      <c r="BR25" s="1364">
        <v>5</v>
      </c>
      <c r="BS25" s="1364">
        <v>5</v>
      </c>
      <c r="BT25" s="1364">
        <v>5</v>
      </c>
      <c r="BU25" s="1364">
        <v>5</v>
      </c>
      <c r="BV25" s="1364">
        <v>5</v>
      </c>
      <c r="BW25" s="1364">
        <v>5</v>
      </c>
      <c r="BX25" s="1364">
        <v>5</v>
      </c>
      <c r="BY25" s="1364">
        <v>5</v>
      </c>
      <c r="BZ25" s="1364">
        <v>5</v>
      </c>
      <c r="CA25" s="1364">
        <v>5</v>
      </c>
      <c r="CB25" s="1364">
        <v>5</v>
      </c>
      <c r="CC25" s="1364">
        <v>5</v>
      </c>
      <c r="CD25" s="1364">
        <v>5</v>
      </c>
      <c r="CE25" s="1364">
        <v>5</v>
      </c>
      <c r="CF25" s="1364">
        <v>5</v>
      </c>
      <c r="CG25" s="1364">
        <v>5</v>
      </c>
      <c r="CH25" s="1364">
        <v>5</v>
      </c>
      <c r="CI25" s="1364">
        <v>5</v>
      </c>
      <c r="CJ25" s="1364">
        <v>5</v>
      </c>
      <c r="CK25" s="1364">
        <v>5</v>
      </c>
      <c r="CL25" s="1364">
        <v>5</v>
      </c>
      <c r="CM25" s="1364">
        <v>5</v>
      </c>
      <c r="CN25" s="1364">
        <v>5</v>
      </c>
    </row>
    <row r="26" spans="2:92" ht="56" hidden="1" x14ac:dyDescent="0.3">
      <c r="B26" s="158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26" s="1481" t="s">
        <v>2122</v>
      </c>
      <c r="D26" s="1248" t="s">
        <v>2121</v>
      </c>
      <c r="E26" s="1249" t="s">
        <v>1274</v>
      </c>
      <c r="F26" s="1580" t="str">
        <f>VLOOKUP(TBL5_OptBen[[#This Row],[Option Type (defined list)]],'Option Typs_Grps'!B$2:C$47, 2, FALSE)</f>
        <v>Customer Options</v>
      </c>
      <c r="G26" s="1248" t="s">
        <v>852</v>
      </c>
      <c r="H26" s="1248" t="s">
        <v>851</v>
      </c>
      <c r="I26" s="1250" t="s">
        <v>85</v>
      </c>
      <c r="J26" s="1250" t="s">
        <v>305</v>
      </c>
      <c r="K26" s="1253">
        <v>2</v>
      </c>
      <c r="L26" s="362"/>
      <c r="M26" s="362"/>
      <c r="N26" s="362"/>
      <c r="O26" s="1361"/>
      <c r="P26" s="1362"/>
      <c r="Q26" s="1363"/>
      <c r="R26" s="1364">
        <v>0.08</v>
      </c>
      <c r="S26" s="1364">
        <v>0.16</v>
      </c>
      <c r="T26" s="1364">
        <v>0.24</v>
      </c>
      <c r="U26" s="1364">
        <v>0.32</v>
      </c>
      <c r="V26" s="1364">
        <v>0.4</v>
      </c>
      <c r="W26" s="363">
        <v>0.48000000000000004</v>
      </c>
      <c r="X26" s="363">
        <v>0.56000000000000005</v>
      </c>
      <c r="Y26" s="363">
        <v>0.64</v>
      </c>
      <c r="Z26" s="363">
        <v>0.72</v>
      </c>
      <c r="AA26" s="363">
        <v>0.8</v>
      </c>
      <c r="AB26" s="363">
        <v>0.8</v>
      </c>
      <c r="AC26" s="363">
        <v>0.8</v>
      </c>
      <c r="AD26" s="363">
        <v>0.8</v>
      </c>
      <c r="AE26" s="363">
        <v>0.8</v>
      </c>
      <c r="AF26" s="363">
        <v>0.8</v>
      </c>
      <c r="AG26" s="363">
        <v>0.8</v>
      </c>
      <c r="AH26" s="363">
        <v>0.8</v>
      </c>
      <c r="AI26" s="363">
        <v>0.8</v>
      </c>
      <c r="AJ26" s="363">
        <v>0.8</v>
      </c>
      <c r="AK26" s="363">
        <v>0.8</v>
      </c>
      <c r="AL26" s="363">
        <v>0.8</v>
      </c>
      <c r="AM26" s="363">
        <v>0.8</v>
      </c>
      <c r="AN26" s="363">
        <v>0.8</v>
      </c>
      <c r="AO26" s="363">
        <v>0.8</v>
      </c>
      <c r="AP26" s="363">
        <v>0.8</v>
      </c>
      <c r="AQ26" s="363">
        <v>0.8</v>
      </c>
      <c r="AR26" s="363">
        <v>0.8</v>
      </c>
      <c r="AS26" s="363">
        <v>0.8</v>
      </c>
      <c r="AT26" s="363">
        <v>0.8</v>
      </c>
      <c r="AU26" s="363">
        <v>0.8</v>
      </c>
      <c r="AV26" s="363">
        <v>0.8</v>
      </c>
      <c r="AW26" s="363">
        <v>0.8</v>
      </c>
      <c r="AX26" s="363">
        <v>0.8</v>
      </c>
      <c r="AY26" s="363">
        <v>0.8</v>
      </c>
      <c r="AZ26" s="363">
        <v>0.8</v>
      </c>
      <c r="BA26" s="363">
        <v>0.8</v>
      </c>
      <c r="BB26" s="363">
        <v>0.8</v>
      </c>
      <c r="BC26" s="363">
        <v>0.8</v>
      </c>
      <c r="BD26" s="363">
        <v>0.8</v>
      </c>
      <c r="BE26" s="363">
        <v>0.8</v>
      </c>
      <c r="BF26" s="363">
        <v>0.8</v>
      </c>
      <c r="BG26" s="363">
        <v>0.8</v>
      </c>
      <c r="BH26" s="363">
        <v>0.8</v>
      </c>
      <c r="BI26" s="363">
        <v>0.8</v>
      </c>
      <c r="BJ26" s="363">
        <v>0.8</v>
      </c>
      <c r="BK26" s="363">
        <v>0.8</v>
      </c>
      <c r="BL26" s="363">
        <v>0.8</v>
      </c>
      <c r="BM26" s="363">
        <v>0.8</v>
      </c>
      <c r="BN26" s="363">
        <v>0.8</v>
      </c>
      <c r="BO26" s="363">
        <v>0.8</v>
      </c>
      <c r="BP26" s="363">
        <v>0.8</v>
      </c>
      <c r="BQ26" s="363">
        <v>0.8</v>
      </c>
      <c r="BR26" s="363">
        <v>0.8</v>
      </c>
      <c r="BS26" s="363">
        <v>0.8</v>
      </c>
      <c r="BT26" s="363">
        <v>0.8</v>
      </c>
      <c r="BU26" s="363">
        <v>0.8</v>
      </c>
      <c r="BV26" s="363">
        <v>0.8</v>
      </c>
      <c r="BW26" s="363">
        <v>0.8</v>
      </c>
      <c r="BX26" s="363">
        <v>0.8</v>
      </c>
      <c r="BY26" s="363">
        <v>0.8</v>
      </c>
      <c r="BZ26" s="363">
        <v>0.8</v>
      </c>
      <c r="CA26" s="363">
        <v>0.8</v>
      </c>
      <c r="CB26" s="363">
        <v>0.8</v>
      </c>
      <c r="CC26" s="363">
        <v>0.8</v>
      </c>
      <c r="CD26" s="363">
        <v>0.8</v>
      </c>
      <c r="CE26" s="363">
        <v>0.8</v>
      </c>
      <c r="CF26" s="363">
        <v>0.8</v>
      </c>
      <c r="CG26" s="363">
        <v>0.8</v>
      </c>
      <c r="CH26" s="363">
        <v>0.8</v>
      </c>
      <c r="CI26" s="363">
        <v>0.8</v>
      </c>
      <c r="CJ26" s="363">
        <v>0.8</v>
      </c>
      <c r="CK26" s="363">
        <v>0.8</v>
      </c>
      <c r="CL26" s="363">
        <v>0.8</v>
      </c>
      <c r="CM26" s="363">
        <v>0.8</v>
      </c>
      <c r="CN26" s="363">
        <v>0.8</v>
      </c>
    </row>
    <row r="27" spans="2:92" ht="42" hidden="1" x14ac:dyDescent="0.35">
      <c r="B27"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27" s="1248" t="s">
        <v>2129</v>
      </c>
      <c r="D27" s="1248" t="s">
        <v>2152</v>
      </c>
      <c r="E27" s="1249" t="s">
        <v>1250</v>
      </c>
      <c r="F27" s="1247" t="str">
        <f>VLOOKUP(TBL5_OptBen[[#This Row],[Option Type (defined list)]],'Option Typs_Grps'!B$2:C$47, 2, FALSE)</f>
        <v>Customer Options</v>
      </c>
      <c r="G27" s="1248" t="s">
        <v>852</v>
      </c>
      <c r="H27" s="1248" t="s">
        <v>851</v>
      </c>
      <c r="I27" s="1250" t="s">
        <v>85</v>
      </c>
      <c r="J27" s="1250" t="s">
        <v>305</v>
      </c>
      <c r="K27" s="1253">
        <v>2</v>
      </c>
      <c r="L27" s="1251"/>
      <c r="M27" s="1581"/>
      <c r="N27" s="1581"/>
      <c r="O27" s="1581"/>
      <c r="P27" s="1581"/>
      <c r="Q27" s="1363"/>
      <c r="R27" s="1364">
        <v>0.39</v>
      </c>
      <c r="S27" s="1364">
        <v>0.78</v>
      </c>
      <c r="T27" s="1364">
        <v>1.17</v>
      </c>
      <c r="U27" s="1364">
        <v>1.56</v>
      </c>
      <c r="V27" s="1364">
        <v>1.9500000000000002</v>
      </c>
      <c r="W27" s="363">
        <v>2.2080000000000002</v>
      </c>
      <c r="X27" s="363">
        <v>2.4660000000000002</v>
      </c>
      <c r="Y27" s="363">
        <v>2.7240000000000002</v>
      </c>
      <c r="Z27" s="363">
        <v>2.9820000000000002</v>
      </c>
      <c r="AA27" s="363">
        <v>3.24</v>
      </c>
      <c r="AB27" s="363">
        <v>3.24</v>
      </c>
      <c r="AC27" s="363">
        <v>3.24</v>
      </c>
      <c r="AD27" s="363">
        <v>3.24</v>
      </c>
      <c r="AE27" s="363">
        <v>3.24</v>
      </c>
      <c r="AF27" s="363">
        <v>3.24</v>
      </c>
      <c r="AG27" s="363">
        <v>3.24</v>
      </c>
      <c r="AH27" s="363">
        <v>3.24</v>
      </c>
      <c r="AI27" s="363">
        <v>3.24</v>
      </c>
      <c r="AJ27" s="363">
        <v>3.24</v>
      </c>
      <c r="AK27" s="363">
        <v>3.24</v>
      </c>
      <c r="AL27" s="363">
        <v>3.24</v>
      </c>
      <c r="AM27" s="363">
        <v>3.24</v>
      </c>
      <c r="AN27" s="363">
        <v>3.24</v>
      </c>
      <c r="AO27" s="363">
        <v>3.24</v>
      </c>
      <c r="AP27" s="363">
        <v>3.24</v>
      </c>
      <c r="AQ27" s="363">
        <v>3.24</v>
      </c>
      <c r="AR27" s="363">
        <v>3.24</v>
      </c>
      <c r="AS27" s="363">
        <v>3.24</v>
      </c>
      <c r="AT27" s="363">
        <v>3.24</v>
      </c>
      <c r="AU27" s="363">
        <v>3.24</v>
      </c>
      <c r="AV27" s="363">
        <v>3.24</v>
      </c>
      <c r="AW27" s="363">
        <v>3.24</v>
      </c>
      <c r="AX27" s="363">
        <v>3.24</v>
      </c>
      <c r="AY27" s="363">
        <v>3.24</v>
      </c>
      <c r="AZ27" s="363">
        <v>3.24</v>
      </c>
      <c r="BA27" s="363">
        <v>3.24</v>
      </c>
      <c r="BB27" s="363">
        <v>3.24</v>
      </c>
      <c r="BC27" s="363">
        <v>3.24</v>
      </c>
      <c r="BD27" s="363">
        <v>3.24</v>
      </c>
      <c r="BE27" s="363">
        <v>3.24</v>
      </c>
      <c r="BF27" s="363">
        <v>3.24</v>
      </c>
      <c r="BG27" s="363">
        <v>3.24</v>
      </c>
      <c r="BH27" s="363">
        <v>3.24</v>
      </c>
      <c r="BI27" s="363">
        <v>3.24</v>
      </c>
      <c r="BJ27" s="363">
        <v>3.24</v>
      </c>
      <c r="BK27" s="363">
        <v>3.24</v>
      </c>
      <c r="BL27" s="363">
        <v>3.24</v>
      </c>
      <c r="BM27" s="363">
        <v>3.24</v>
      </c>
      <c r="BN27" s="363">
        <v>3.24</v>
      </c>
      <c r="BO27" s="363">
        <v>3.24</v>
      </c>
      <c r="BP27" s="363">
        <v>3.24</v>
      </c>
      <c r="BQ27" s="363">
        <v>3.24</v>
      </c>
      <c r="BR27" s="363">
        <v>3.24</v>
      </c>
      <c r="BS27" s="363">
        <v>3.24</v>
      </c>
      <c r="BT27" s="363">
        <v>3.24</v>
      </c>
      <c r="BU27" s="363">
        <v>3.24</v>
      </c>
      <c r="BV27" s="363">
        <v>3.24</v>
      </c>
      <c r="BW27" s="363">
        <v>3.24</v>
      </c>
      <c r="BX27" s="363">
        <v>3.24</v>
      </c>
      <c r="BY27" s="363">
        <v>3.24</v>
      </c>
      <c r="BZ27" s="363">
        <v>3.24</v>
      </c>
      <c r="CA27" s="363">
        <v>3.24</v>
      </c>
      <c r="CB27" s="363">
        <v>3.24</v>
      </c>
      <c r="CC27" s="363">
        <v>3.24</v>
      </c>
      <c r="CD27" s="363">
        <v>3.24</v>
      </c>
      <c r="CE27" s="363">
        <v>3.24</v>
      </c>
      <c r="CF27" s="363">
        <v>3.24</v>
      </c>
      <c r="CG27" s="363">
        <v>3.24</v>
      </c>
      <c r="CH27" s="363">
        <v>3.24</v>
      </c>
      <c r="CI27" s="363">
        <v>3.24</v>
      </c>
      <c r="CJ27" s="363">
        <v>3.24</v>
      </c>
      <c r="CK27" s="363">
        <v>3.24</v>
      </c>
      <c r="CL27" s="363">
        <v>3.24</v>
      </c>
      <c r="CM27" s="363">
        <v>3.24</v>
      </c>
      <c r="CN27" s="363">
        <v>3.24</v>
      </c>
    </row>
    <row r="28" spans="2:92" ht="42" hidden="1" x14ac:dyDescent="0.35">
      <c r="B28"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28" s="1248" t="s">
        <v>1252</v>
      </c>
      <c r="D28" s="1248" t="s">
        <v>1251</v>
      </c>
      <c r="E28" s="1249" t="s">
        <v>1250</v>
      </c>
      <c r="F28" s="1247" t="str">
        <f>VLOOKUP(TBL5_OptBen[[#This Row],[Option Type (defined list)]],'Option Typs_Grps'!B$2:C$47, 2, FALSE)</f>
        <v>Customer Options</v>
      </c>
      <c r="G28" s="1248" t="s">
        <v>852</v>
      </c>
      <c r="H28" s="1248" t="s">
        <v>851</v>
      </c>
      <c r="I28" s="1250" t="s">
        <v>85</v>
      </c>
      <c r="J28" s="1250" t="s">
        <v>305</v>
      </c>
      <c r="K28" s="1253">
        <v>2</v>
      </c>
      <c r="L28" s="1251"/>
      <c r="M28" s="1581"/>
      <c r="N28" s="1581"/>
      <c r="O28" s="1581"/>
      <c r="P28" s="1581"/>
      <c r="Q28" s="1363"/>
      <c r="R28" s="1364">
        <v>0.14199999999999999</v>
      </c>
      <c r="S28" s="1364">
        <v>0.28399999999999997</v>
      </c>
      <c r="T28" s="1364">
        <v>0.42599999999999993</v>
      </c>
      <c r="U28" s="1364">
        <v>0.56799999999999995</v>
      </c>
      <c r="V28" s="1364">
        <v>0.71</v>
      </c>
      <c r="W28" s="1364">
        <v>0.85199999999999998</v>
      </c>
      <c r="X28" s="1364">
        <v>0.99399999999999999</v>
      </c>
      <c r="Y28" s="1364">
        <v>1.1359999999999999</v>
      </c>
      <c r="Z28" s="1364">
        <v>1.278</v>
      </c>
      <c r="AA28" s="1364">
        <v>1.42</v>
      </c>
      <c r="AB28" s="363">
        <v>1.42</v>
      </c>
      <c r="AC28" s="363">
        <v>1.42</v>
      </c>
      <c r="AD28" s="363">
        <v>1.42</v>
      </c>
      <c r="AE28" s="363">
        <v>1.42</v>
      </c>
      <c r="AF28" s="363">
        <v>1.42</v>
      </c>
      <c r="AG28" s="363">
        <v>1.42</v>
      </c>
      <c r="AH28" s="363">
        <v>1.42</v>
      </c>
      <c r="AI28" s="363">
        <v>1.42</v>
      </c>
      <c r="AJ28" s="363">
        <v>1.42</v>
      </c>
      <c r="AK28" s="363">
        <v>1.42</v>
      </c>
      <c r="AL28" s="363">
        <v>1.42</v>
      </c>
      <c r="AM28" s="363">
        <v>1.42</v>
      </c>
      <c r="AN28" s="363">
        <v>1.42</v>
      </c>
      <c r="AO28" s="363">
        <v>1.42</v>
      </c>
      <c r="AP28" s="363">
        <v>1.42</v>
      </c>
      <c r="AQ28" s="363">
        <v>1.42</v>
      </c>
      <c r="AR28" s="363">
        <v>1.42</v>
      </c>
      <c r="AS28" s="363">
        <v>1.42</v>
      </c>
      <c r="AT28" s="363">
        <v>1.42</v>
      </c>
      <c r="AU28" s="363">
        <v>1.42</v>
      </c>
      <c r="AV28" s="363">
        <v>1.42</v>
      </c>
      <c r="AW28" s="363">
        <v>1.42</v>
      </c>
      <c r="AX28" s="363">
        <v>1.42</v>
      </c>
      <c r="AY28" s="363">
        <v>1.42</v>
      </c>
      <c r="AZ28" s="363">
        <v>1.42</v>
      </c>
      <c r="BA28" s="363">
        <v>1.42</v>
      </c>
      <c r="BB28" s="363">
        <v>1.42</v>
      </c>
      <c r="BC28" s="363">
        <v>1.42</v>
      </c>
      <c r="BD28" s="363">
        <v>1.42</v>
      </c>
      <c r="BE28" s="363">
        <v>1.42</v>
      </c>
      <c r="BF28" s="363">
        <v>1.42</v>
      </c>
      <c r="BG28" s="363">
        <v>1.42</v>
      </c>
      <c r="BH28" s="363">
        <v>1.42</v>
      </c>
      <c r="BI28" s="363">
        <v>1.42</v>
      </c>
      <c r="BJ28" s="363">
        <v>1.42</v>
      </c>
      <c r="BK28" s="363">
        <v>1.42</v>
      </c>
      <c r="BL28" s="363">
        <v>1.42</v>
      </c>
      <c r="BM28" s="363">
        <v>1.42</v>
      </c>
      <c r="BN28" s="363">
        <v>1.42</v>
      </c>
      <c r="BO28" s="363">
        <v>1.42</v>
      </c>
      <c r="BP28" s="363">
        <v>1.42</v>
      </c>
      <c r="BQ28" s="363">
        <v>1.42</v>
      </c>
      <c r="BR28" s="363">
        <v>1.42</v>
      </c>
      <c r="BS28" s="363">
        <v>1.42</v>
      </c>
      <c r="BT28" s="363">
        <v>1.42</v>
      </c>
      <c r="BU28" s="363">
        <v>1.42</v>
      </c>
      <c r="BV28" s="363">
        <v>1.42</v>
      </c>
      <c r="BW28" s="363">
        <v>1.42</v>
      </c>
      <c r="BX28" s="363">
        <v>1.42</v>
      </c>
      <c r="BY28" s="363">
        <v>1.42</v>
      </c>
      <c r="BZ28" s="363">
        <v>1.42</v>
      </c>
      <c r="CA28" s="363">
        <v>1.42</v>
      </c>
      <c r="CB28" s="363">
        <v>1.42</v>
      </c>
      <c r="CC28" s="363">
        <v>1.42</v>
      </c>
      <c r="CD28" s="363">
        <v>1.42</v>
      </c>
      <c r="CE28" s="363">
        <v>1.42</v>
      </c>
      <c r="CF28" s="363">
        <v>1.42</v>
      </c>
      <c r="CG28" s="363">
        <v>1.42</v>
      </c>
      <c r="CH28" s="363">
        <v>1.42</v>
      </c>
      <c r="CI28" s="363">
        <v>1.42</v>
      </c>
      <c r="CJ28" s="363">
        <v>1.42</v>
      </c>
      <c r="CK28" s="363">
        <v>1.42</v>
      </c>
      <c r="CL28" s="363">
        <v>1.42</v>
      </c>
      <c r="CM28" s="363">
        <v>1.42</v>
      </c>
      <c r="CN28" s="363">
        <v>1.42</v>
      </c>
    </row>
    <row r="29" spans="2:92" ht="28" hidden="1" x14ac:dyDescent="0.35">
      <c r="B29"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52cP</v>
      </c>
      <c r="C29" s="1248" t="s">
        <v>1254</v>
      </c>
      <c r="D29" s="1248" t="s">
        <v>1253</v>
      </c>
      <c r="E29" s="1249" t="s">
        <v>1255</v>
      </c>
      <c r="F29" s="1247" t="str">
        <f>VLOOKUP(TBL5_OptBen[[#This Row],[Option Type (defined list)]],'Option Typs_Grps'!B$2:C$47, 2, FALSE)</f>
        <v>Distribution Options</v>
      </c>
      <c r="G29" s="1248" t="s">
        <v>852</v>
      </c>
      <c r="H29" s="1248" t="s">
        <v>851</v>
      </c>
      <c r="I29" s="1250" t="s">
        <v>85</v>
      </c>
      <c r="J29" s="1250" t="s">
        <v>305</v>
      </c>
      <c r="K29" s="1253">
        <v>2</v>
      </c>
      <c r="L29" s="1251"/>
      <c r="M29" s="1581"/>
      <c r="N29" s="1581"/>
      <c r="O29" s="1581"/>
      <c r="P29" s="1581"/>
      <c r="Q29" s="1363"/>
      <c r="R29" s="1364">
        <v>0.06</v>
      </c>
      <c r="S29" s="1364">
        <v>0.12</v>
      </c>
      <c r="T29" s="1364">
        <v>0.18</v>
      </c>
      <c r="U29" s="1364">
        <v>0.24</v>
      </c>
      <c r="V29" s="1364">
        <v>0.3</v>
      </c>
      <c r="W29" s="1364">
        <v>0.36</v>
      </c>
      <c r="X29" s="1364">
        <v>0.42</v>
      </c>
      <c r="Y29" s="1364">
        <v>0.48</v>
      </c>
      <c r="Z29" s="1364">
        <v>0.54</v>
      </c>
      <c r="AA29" s="1364">
        <v>0.6</v>
      </c>
      <c r="AB29" s="1364">
        <v>0.61199999999999999</v>
      </c>
      <c r="AC29" s="1364">
        <v>0.624</v>
      </c>
      <c r="AD29" s="1364">
        <v>0.63600000000000001</v>
      </c>
      <c r="AE29" s="1364">
        <v>0.64800000000000002</v>
      </c>
      <c r="AF29" s="1364">
        <v>0.65999999999999992</v>
      </c>
      <c r="AG29" s="1364">
        <v>0.65999999999999992</v>
      </c>
      <c r="AH29" s="1364">
        <v>0.65999999999999992</v>
      </c>
      <c r="AI29" s="1364">
        <v>0.65999999999999992</v>
      </c>
      <c r="AJ29" s="1364">
        <v>0.65999999999999992</v>
      </c>
      <c r="AK29" s="1364">
        <v>0.65999999999999992</v>
      </c>
      <c r="AL29" s="1364">
        <v>0.65999999999999992</v>
      </c>
      <c r="AM29" s="1364">
        <v>0.65999999999999992</v>
      </c>
      <c r="AN29" s="1364">
        <v>0.65999999999999992</v>
      </c>
      <c r="AO29" s="1364">
        <v>0.65999999999999992</v>
      </c>
      <c r="AP29" s="1364">
        <v>0.65999999999999992</v>
      </c>
      <c r="AQ29" s="1364">
        <v>0.65999999999999992</v>
      </c>
      <c r="AR29" s="1364">
        <v>0.65999999999999992</v>
      </c>
      <c r="AS29" s="1364">
        <v>0.65999999999999992</v>
      </c>
      <c r="AT29" s="1364">
        <v>0.65999999999999992</v>
      </c>
      <c r="AU29" s="1364">
        <v>0.65999999999999992</v>
      </c>
      <c r="AV29" s="1364">
        <v>0.65999999999999992</v>
      </c>
      <c r="AW29" s="1364">
        <v>0.65999999999999992</v>
      </c>
      <c r="AX29" s="1364">
        <v>0.65999999999999992</v>
      </c>
      <c r="AY29" s="1364">
        <v>0.65999999999999992</v>
      </c>
      <c r="AZ29" s="1364">
        <v>0.65999999999999992</v>
      </c>
      <c r="BA29" s="1364">
        <v>0.65999999999999992</v>
      </c>
      <c r="BB29" s="1364">
        <v>0.65999999999999992</v>
      </c>
      <c r="BC29" s="1364">
        <v>0.65999999999999992</v>
      </c>
      <c r="BD29" s="1364">
        <v>0.65999999999999992</v>
      </c>
      <c r="BE29" s="1364">
        <v>0.65999999999999992</v>
      </c>
      <c r="BF29" s="1364">
        <v>0.65999999999999992</v>
      </c>
      <c r="BG29" s="1364">
        <v>0.65999999999999992</v>
      </c>
      <c r="BH29" s="1364">
        <v>0.65999999999999992</v>
      </c>
      <c r="BI29" s="1364">
        <v>0.65999999999999992</v>
      </c>
      <c r="BJ29" s="1364">
        <v>0.65999999999999992</v>
      </c>
      <c r="BK29" s="1364">
        <v>0.65999999999999992</v>
      </c>
      <c r="BL29" s="1364">
        <v>0.65999999999999992</v>
      </c>
      <c r="BM29" s="1364">
        <v>0.65999999999999992</v>
      </c>
      <c r="BN29" s="1364">
        <v>0.65999999999999992</v>
      </c>
      <c r="BO29" s="1364">
        <v>0.65999999999999992</v>
      </c>
      <c r="BP29" s="1364">
        <v>0.65999999999999992</v>
      </c>
      <c r="BQ29" s="1364">
        <v>0.65999999999999992</v>
      </c>
      <c r="BR29" s="1364">
        <v>0.65999999999999992</v>
      </c>
      <c r="BS29" s="1364">
        <v>0.65999999999999992</v>
      </c>
      <c r="BT29" s="1364">
        <v>0.65999999999999992</v>
      </c>
      <c r="BU29" s="1364">
        <v>0.65999999999999992</v>
      </c>
      <c r="BV29" s="1364">
        <v>0.65999999999999992</v>
      </c>
      <c r="BW29" s="1364">
        <v>0.65999999999999992</v>
      </c>
      <c r="BX29" s="1364">
        <v>0.65999999999999992</v>
      </c>
      <c r="BY29" s="1364">
        <v>0.65999999999999992</v>
      </c>
      <c r="BZ29" s="1364">
        <v>0.65999999999999992</v>
      </c>
      <c r="CA29" s="1364">
        <v>0.65999999999999992</v>
      </c>
      <c r="CB29" s="1364">
        <v>0.65999999999999992</v>
      </c>
      <c r="CC29" s="1364">
        <v>0.65999999999999992</v>
      </c>
      <c r="CD29" s="1364">
        <v>0.65999999999999992</v>
      </c>
      <c r="CE29" s="1364">
        <v>0.65999999999999992</v>
      </c>
      <c r="CF29" s="1364">
        <v>0.65999999999999992</v>
      </c>
      <c r="CG29" s="1364">
        <v>0.65999999999999992</v>
      </c>
      <c r="CH29" s="1364">
        <v>0.65999999999999992</v>
      </c>
      <c r="CI29" s="1364">
        <v>0.65999999999999992</v>
      </c>
      <c r="CJ29" s="1364">
        <v>0.65999999999999992</v>
      </c>
      <c r="CK29" s="1364">
        <v>0.65999999999999992</v>
      </c>
      <c r="CL29" s="1364">
        <v>0.65999999999999992</v>
      </c>
      <c r="CM29" s="1364">
        <v>0.65999999999999992</v>
      </c>
      <c r="CN29" s="1364">
        <v>0.65999999999999992</v>
      </c>
    </row>
    <row r="30" spans="2:92" ht="28" hidden="1" x14ac:dyDescent="0.35">
      <c r="B30"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52cP</v>
      </c>
      <c r="C30" s="1248" t="s">
        <v>1257</v>
      </c>
      <c r="D30" s="1248" t="s">
        <v>1256</v>
      </c>
      <c r="E30" s="1249" t="s">
        <v>1255</v>
      </c>
      <c r="F30" s="1247" t="str">
        <f>VLOOKUP(TBL5_OptBen[[#This Row],[Option Type (defined list)]],'Option Typs_Grps'!B$2:C$47, 2, FALSE)</f>
        <v>Distribution Options</v>
      </c>
      <c r="G30" s="1248" t="s">
        <v>852</v>
      </c>
      <c r="H30" s="1248" t="s">
        <v>851</v>
      </c>
      <c r="I30" s="1250" t="s">
        <v>85</v>
      </c>
      <c r="J30" s="1250" t="s">
        <v>305</v>
      </c>
      <c r="K30" s="1253">
        <v>2</v>
      </c>
      <c r="L30" s="1251"/>
      <c r="M30" s="1581"/>
      <c r="N30" s="1581"/>
      <c r="O30" s="1581"/>
      <c r="P30" s="1581"/>
      <c r="Q30" s="1363"/>
      <c r="R30" s="1364">
        <v>0.06</v>
      </c>
      <c r="S30" s="1364">
        <v>0.12</v>
      </c>
      <c r="T30" s="1364">
        <v>0.18</v>
      </c>
      <c r="U30" s="1364">
        <v>0.24</v>
      </c>
      <c r="V30" s="1364">
        <v>0.3</v>
      </c>
      <c r="W30" s="1364">
        <v>0.312</v>
      </c>
      <c r="X30" s="1364">
        <v>0.32400000000000001</v>
      </c>
      <c r="Y30" s="1364">
        <v>0.33599999999999997</v>
      </c>
      <c r="Z30" s="1364">
        <v>0.34799999999999998</v>
      </c>
      <c r="AA30" s="1364">
        <v>0.36</v>
      </c>
      <c r="AB30" s="1364">
        <v>0.42</v>
      </c>
      <c r="AC30" s="1364">
        <v>0.48</v>
      </c>
      <c r="AD30" s="1364">
        <v>0.54</v>
      </c>
      <c r="AE30" s="1364">
        <v>0.6</v>
      </c>
      <c r="AF30" s="1364">
        <v>0.65999999999999992</v>
      </c>
      <c r="AG30" s="1364">
        <v>0.65999999999999992</v>
      </c>
      <c r="AH30" s="1364">
        <v>0.65999999999999992</v>
      </c>
      <c r="AI30" s="1364">
        <v>0.65999999999999992</v>
      </c>
      <c r="AJ30" s="1364">
        <v>0.65999999999999992</v>
      </c>
      <c r="AK30" s="1364">
        <v>0.65999999999999992</v>
      </c>
      <c r="AL30" s="1364">
        <v>0.65999999999999992</v>
      </c>
      <c r="AM30" s="1364">
        <v>0.65999999999999992</v>
      </c>
      <c r="AN30" s="1364">
        <v>0.65999999999999992</v>
      </c>
      <c r="AO30" s="1364">
        <v>0.65999999999999992</v>
      </c>
      <c r="AP30" s="1364">
        <v>0.65999999999999992</v>
      </c>
      <c r="AQ30" s="1364">
        <v>0.65999999999999992</v>
      </c>
      <c r="AR30" s="1364">
        <v>0.65999999999999992</v>
      </c>
      <c r="AS30" s="1364">
        <v>0.65999999999999992</v>
      </c>
      <c r="AT30" s="1364">
        <v>0.65999999999999992</v>
      </c>
      <c r="AU30" s="1364">
        <v>0.65999999999999992</v>
      </c>
      <c r="AV30" s="1364">
        <v>0.65999999999999992</v>
      </c>
      <c r="AW30" s="1364">
        <v>0.65999999999999992</v>
      </c>
      <c r="AX30" s="1364">
        <v>0.65999999999999992</v>
      </c>
      <c r="AY30" s="1364">
        <v>0.65999999999999992</v>
      </c>
      <c r="AZ30" s="1364">
        <v>0.65999999999999992</v>
      </c>
      <c r="BA30" s="1364">
        <v>0.65999999999999992</v>
      </c>
      <c r="BB30" s="1364">
        <v>0.65999999999999992</v>
      </c>
      <c r="BC30" s="1364">
        <v>0.65999999999999992</v>
      </c>
      <c r="BD30" s="1364">
        <v>0.65999999999999992</v>
      </c>
      <c r="BE30" s="1364">
        <v>0.65999999999999992</v>
      </c>
      <c r="BF30" s="1364">
        <v>0.65999999999999992</v>
      </c>
      <c r="BG30" s="1364">
        <v>0.65999999999999992</v>
      </c>
      <c r="BH30" s="1364">
        <v>0.65999999999999992</v>
      </c>
      <c r="BI30" s="1364">
        <v>0.65999999999999992</v>
      </c>
      <c r="BJ30" s="1364">
        <v>0.65999999999999992</v>
      </c>
      <c r="BK30" s="1364">
        <v>0.65999999999999992</v>
      </c>
      <c r="BL30" s="1364">
        <v>0.65999999999999992</v>
      </c>
      <c r="BM30" s="1364">
        <v>0.65999999999999992</v>
      </c>
      <c r="BN30" s="1364">
        <v>0.65999999999999992</v>
      </c>
      <c r="BO30" s="1364">
        <v>0.65999999999999992</v>
      </c>
      <c r="BP30" s="1364">
        <v>0.65999999999999992</v>
      </c>
      <c r="BQ30" s="1364">
        <v>0.65999999999999992</v>
      </c>
      <c r="BR30" s="1364">
        <v>0.65999999999999992</v>
      </c>
      <c r="BS30" s="1364">
        <v>0.65999999999999992</v>
      </c>
      <c r="BT30" s="1364">
        <v>0.65999999999999992</v>
      </c>
      <c r="BU30" s="1364">
        <v>0.65999999999999992</v>
      </c>
      <c r="BV30" s="1364">
        <v>0.65999999999999992</v>
      </c>
      <c r="BW30" s="1364">
        <v>0.65999999999999992</v>
      </c>
      <c r="BX30" s="1364">
        <v>0.65999999999999992</v>
      </c>
      <c r="BY30" s="1364">
        <v>0.65999999999999992</v>
      </c>
      <c r="BZ30" s="1364">
        <v>0.65999999999999992</v>
      </c>
      <c r="CA30" s="1364">
        <v>0.65999999999999992</v>
      </c>
      <c r="CB30" s="1364">
        <v>0.65999999999999992</v>
      </c>
      <c r="CC30" s="1364">
        <v>0.65999999999999992</v>
      </c>
      <c r="CD30" s="1364">
        <v>0.65999999999999992</v>
      </c>
      <c r="CE30" s="1364">
        <v>0.65999999999999992</v>
      </c>
      <c r="CF30" s="1364">
        <v>0.65999999999999992</v>
      </c>
      <c r="CG30" s="1364">
        <v>0.65999999999999992</v>
      </c>
      <c r="CH30" s="1364">
        <v>0.65999999999999992</v>
      </c>
      <c r="CI30" s="1364">
        <v>0.65999999999999992</v>
      </c>
      <c r="CJ30" s="1364">
        <v>0.65999999999999992</v>
      </c>
      <c r="CK30" s="1364">
        <v>0.65999999999999992</v>
      </c>
      <c r="CL30" s="1364">
        <v>0.65999999999999992</v>
      </c>
      <c r="CM30" s="1364">
        <v>0.65999999999999992</v>
      </c>
      <c r="CN30" s="1364">
        <v>0.65999999999999992</v>
      </c>
    </row>
    <row r="31" spans="2:92" ht="42" hidden="1" x14ac:dyDescent="0.35">
      <c r="B31"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31" s="1248" t="s">
        <v>2191</v>
      </c>
      <c r="D31" s="1248" t="s">
        <v>1258</v>
      </c>
      <c r="E31" s="1249" t="s">
        <v>1260</v>
      </c>
      <c r="F31" s="1247" t="str">
        <f>VLOOKUP(TBL5_OptBen[[#This Row],[Option Type (defined list)]],'Option Typs_Grps'!B$2:C$47, 2, FALSE)</f>
        <v>Customer Options</v>
      </c>
      <c r="G31" s="1248" t="s">
        <v>852</v>
      </c>
      <c r="H31" s="1248" t="s">
        <v>851</v>
      </c>
      <c r="I31" s="1250" t="s">
        <v>85</v>
      </c>
      <c r="J31" s="1250" t="s">
        <v>305</v>
      </c>
      <c r="K31" s="1253">
        <v>2</v>
      </c>
      <c r="L31" s="1251"/>
      <c r="M31" s="1581"/>
      <c r="N31" s="1581"/>
      <c r="O31" s="1581"/>
      <c r="P31" s="1581"/>
      <c r="Q31" s="1363"/>
      <c r="R31" s="1364">
        <v>4.2000000000000003E-2</v>
      </c>
      <c r="S31" s="1364">
        <v>8.4000000000000005E-2</v>
      </c>
      <c r="T31" s="1364">
        <v>0.126</v>
      </c>
      <c r="U31" s="1364">
        <v>0.16800000000000001</v>
      </c>
      <c r="V31" s="1364">
        <v>0.21000000000000002</v>
      </c>
      <c r="W31" s="363">
        <v>0.252</v>
      </c>
      <c r="X31" s="363">
        <v>0.29399999999999998</v>
      </c>
      <c r="Y31" s="363">
        <v>0.33599999999999997</v>
      </c>
      <c r="Z31" s="363">
        <v>0.378</v>
      </c>
      <c r="AA31" s="363">
        <v>0.42000000000000004</v>
      </c>
      <c r="AB31" s="363">
        <v>0.42000000000000004</v>
      </c>
      <c r="AC31" s="363">
        <v>0.42000000000000004</v>
      </c>
      <c r="AD31" s="363">
        <v>0.42000000000000004</v>
      </c>
      <c r="AE31" s="363">
        <v>0.42000000000000004</v>
      </c>
      <c r="AF31" s="363">
        <v>0.42000000000000004</v>
      </c>
      <c r="AG31" s="363">
        <v>0.42000000000000004</v>
      </c>
      <c r="AH31" s="363">
        <v>0.42000000000000004</v>
      </c>
      <c r="AI31" s="363">
        <v>0.42000000000000004</v>
      </c>
      <c r="AJ31" s="363">
        <v>0.42000000000000004</v>
      </c>
      <c r="AK31" s="363">
        <v>0.42000000000000004</v>
      </c>
      <c r="AL31" s="363">
        <v>0.42000000000000004</v>
      </c>
      <c r="AM31" s="363">
        <v>0.42000000000000004</v>
      </c>
      <c r="AN31" s="363">
        <v>0.42000000000000004</v>
      </c>
      <c r="AO31" s="363">
        <v>0.42000000000000004</v>
      </c>
      <c r="AP31" s="363">
        <v>0.42000000000000004</v>
      </c>
      <c r="AQ31" s="363">
        <v>0.42000000000000004</v>
      </c>
      <c r="AR31" s="363">
        <v>0.42000000000000004</v>
      </c>
      <c r="AS31" s="363">
        <v>0.42000000000000004</v>
      </c>
      <c r="AT31" s="363">
        <v>0.42000000000000004</v>
      </c>
      <c r="AU31" s="363">
        <v>0.42000000000000004</v>
      </c>
      <c r="AV31" s="363">
        <v>0.42000000000000004</v>
      </c>
      <c r="AW31" s="363">
        <v>0.42000000000000004</v>
      </c>
      <c r="AX31" s="363">
        <v>0.42000000000000004</v>
      </c>
      <c r="AY31" s="363">
        <v>0.42000000000000004</v>
      </c>
      <c r="AZ31" s="363">
        <v>0.42000000000000004</v>
      </c>
      <c r="BA31" s="363">
        <v>0.42000000000000004</v>
      </c>
      <c r="BB31" s="363">
        <v>0.42000000000000004</v>
      </c>
      <c r="BC31" s="363">
        <v>0.42000000000000004</v>
      </c>
      <c r="BD31" s="363">
        <v>0.42000000000000004</v>
      </c>
      <c r="BE31" s="363">
        <v>0.42000000000000004</v>
      </c>
      <c r="BF31" s="363">
        <v>0.42000000000000004</v>
      </c>
      <c r="BG31" s="363">
        <v>0.42000000000000004</v>
      </c>
      <c r="BH31" s="363">
        <v>0.42000000000000004</v>
      </c>
      <c r="BI31" s="363">
        <v>0.42000000000000004</v>
      </c>
      <c r="BJ31" s="363">
        <v>0.42000000000000004</v>
      </c>
      <c r="BK31" s="363">
        <v>0.42000000000000004</v>
      </c>
      <c r="BL31" s="363">
        <v>0.42000000000000004</v>
      </c>
      <c r="BM31" s="363">
        <v>0.42000000000000004</v>
      </c>
      <c r="BN31" s="363">
        <v>0.42000000000000004</v>
      </c>
      <c r="BO31" s="363">
        <v>0.42000000000000004</v>
      </c>
      <c r="BP31" s="363">
        <v>0.42000000000000004</v>
      </c>
      <c r="BQ31" s="363">
        <v>0.42000000000000004</v>
      </c>
      <c r="BR31" s="363">
        <v>0.42000000000000004</v>
      </c>
      <c r="BS31" s="363">
        <v>0.42000000000000004</v>
      </c>
      <c r="BT31" s="363">
        <v>0.42000000000000004</v>
      </c>
      <c r="BU31" s="363">
        <v>0.42000000000000004</v>
      </c>
      <c r="BV31" s="363">
        <v>0.42000000000000004</v>
      </c>
      <c r="BW31" s="363">
        <v>0.42000000000000004</v>
      </c>
      <c r="BX31" s="363">
        <v>0.42000000000000004</v>
      </c>
      <c r="BY31" s="363">
        <v>0.42000000000000004</v>
      </c>
      <c r="BZ31" s="363">
        <v>0.42000000000000004</v>
      </c>
      <c r="CA31" s="363">
        <v>0.42000000000000004</v>
      </c>
      <c r="CB31" s="363">
        <v>0.42000000000000004</v>
      </c>
      <c r="CC31" s="363">
        <v>0.42000000000000004</v>
      </c>
      <c r="CD31" s="363">
        <v>0.42000000000000004</v>
      </c>
      <c r="CE31" s="363">
        <v>0.42000000000000004</v>
      </c>
      <c r="CF31" s="363">
        <v>0.42000000000000004</v>
      </c>
      <c r="CG31" s="363">
        <v>0.42000000000000004</v>
      </c>
      <c r="CH31" s="363">
        <v>0.42000000000000004</v>
      </c>
      <c r="CI31" s="363">
        <v>0.42000000000000004</v>
      </c>
      <c r="CJ31" s="363">
        <v>0.42000000000000004</v>
      </c>
      <c r="CK31" s="363">
        <v>0.42000000000000004</v>
      </c>
      <c r="CL31" s="363">
        <v>0.42000000000000004</v>
      </c>
      <c r="CM31" s="363">
        <v>0.42000000000000004</v>
      </c>
      <c r="CN31" s="363">
        <v>0.42000000000000004</v>
      </c>
    </row>
    <row r="32" spans="2:92" ht="28" hidden="1" x14ac:dyDescent="0.35">
      <c r="B32"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52cP</v>
      </c>
      <c r="C32" s="1248" t="s">
        <v>1262</v>
      </c>
      <c r="D32" s="1248" t="s">
        <v>1261</v>
      </c>
      <c r="E32" s="1249" t="s">
        <v>1263</v>
      </c>
      <c r="F32" s="1247" t="str">
        <f>VLOOKUP(TBL5_OptBen[[#This Row],[Option Type (defined list)]],'Option Typs_Grps'!B$2:C$47, 2, FALSE)</f>
        <v>Distribution Options</v>
      </c>
      <c r="G32" s="1248" t="s">
        <v>852</v>
      </c>
      <c r="H32" s="1248" t="s">
        <v>851</v>
      </c>
      <c r="I32" s="1250" t="s">
        <v>85</v>
      </c>
      <c r="J32" s="1250" t="s">
        <v>305</v>
      </c>
      <c r="K32" s="1253">
        <v>2</v>
      </c>
      <c r="L32" s="1251"/>
      <c r="M32" s="1581"/>
      <c r="N32" s="1581"/>
      <c r="O32" s="1581"/>
      <c r="P32" s="1581"/>
      <c r="Q32" s="1363"/>
      <c r="R32" s="1364">
        <v>0</v>
      </c>
      <c r="S32" s="363">
        <v>0</v>
      </c>
      <c r="T32" s="363">
        <v>0</v>
      </c>
      <c r="U32" s="363">
        <v>0</v>
      </c>
      <c r="V32" s="363">
        <v>0</v>
      </c>
      <c r="W32" s="363">
        <v>0</v>
      </c>
      <c r="X32" s="363">
        <v>0</v>
      </c>
      <c r="Y32" s="363">
        <v>0</v>
      </c>
      <c r="Z32" s="363">
        <v>0</v>
      </c>
      <c r="AA32" s="363">
        <v>0</v>
      </c>
      <c r="AB32" s="363">
        <v>0.53</v>
      </c>
      <c r="AC32" s="363">
        <v>1.06</v>
      </c>
      <c r="AD32" s="363">
        <v>1.59</v>
      </c>
      <c r="AE32" s="363">
        <v>2.12</v>
      </c>
      <c r="AF32" s="363">
        <v>2.6500000000000004</v>
      </c>
      <c r="AG32" s="363">
        <v>2.8200000000000003</v>
      </c>
      <c r="AH32" s="363">
        <v>2.99</v>
      </c>
      <c r="AI32" s="363">
        <v>3.16</v>
      </c>
      <c r="AJ32" s="363">
        <v>3.3300000000000005</v>
      </c>
      <c r="AK32" s="363">
        <v>3.5000000000000004</v>
      </c>
      <c r="AL32" s="363">
        <v>3.5000000000000004</v>
      </c>
      <c r="AM32" s="363">
        <v>3.5000000000000004</v>
      </c>
      <c r="AN32" s="363">
        <v>3.5000000000000004</v>
      </c>
      <c r="AO32" s="363">
        <v>3.5000000000000004</v>
      </c>
      <c r="AP32" s="363">
        <v>3.5000000000000004</v>
      </c>
      <c r="AQ32" s="363">
        <v>3.5000000000000004</v>
      </c>
      <c r="AR32" s="363">
        <v>3.5000000000000004</v>
      </c>
      <c r="AS32" s="363">
        <v>3.5000000000000004</v>
      </c>
      <c r="AT32" s="363">
        <v>3.5000000000000004</v>
      </c>
      <c r="AU32" s="363">
        <v>3.5000000000000004</v>
      </c>
      <c r="AV32" s="363">
        <v>3.5000000000000004</v>
      </c>
      <c r="AW32" s="363">
        <v>3.5000000000000004</v>
      </c>
      <c r="AX32" s="363">
        <v>3.5000000000000004</v>
      </c>
      <c r="AY32" s="363">
        <v>3.5000000000000004</v>
      </c>
      <c r="AZ32" s="363">
        <v>3.5000000000000004</v>
      </c>
      <c r="BA32" s="363">
        <v>3.5000000000000004</v>
      </c>
      <c r="BB32" s="363">
        <v>3.5000000000000004</v>
      </c>
      <c r="BC32" s="363">
        <v>3.5000000000000004</v>
      </c>
      <c r="BD32" s="363">
        <v>3.5000000000000004</v>
      </c>
      <c r="BE32" s="363">
        <v>3.5000000000000004</v>
      </c>
      <c r="BF32" s="363">
        <v>3.5000000000000004</v>
      </c>
      <c r="BG32" s="363">
        <v>3.5000000000000004</v>
      </c>
      <c r="BH32" s="363">
        <v>3.5000000000000004</v>
      </c>
      <c r="BI32" s="363">
        <v>3.5000000000000004</v>
      </c>
      <c r="BJ32" s="363">
        <v>3.5000000000000004</v>
      </c>
      <c r="BK32" s="363">
        <v>3.5000000000000004</v>
      </c>
      <c r="BL32" s="363">
        <v>3.5000000000000004</v>
      </c>
      <c r="BM32" s="363">
        <v>3.5000000000000004</v>
      </c>
      <c r="BN32" s="363">
        <v>3.5000000000000004</v>
      </c>
      <c r="BO32" s="363">
        <v>3.5000000000000004</v>
      </c>
      <c r="BP32" s="363">
        <v>3.5000000000000004</v>
      </c>
      <c r="BQ32" s="363">
        <v>3.5000000000000004</v>
      </c>
      <c r="BR32" s="363">
        <v>3.5000000000000004</v>
      </c>
      <c r="BS32" s="363">
        <v>3.5000000000000004</v>
      </c>
      <c r="BT32" s="363">
        <v>3.5000000000000004</v>
      </c>
      <c r="BU32" s="363">
        <v>3.5000000000000004</v>
      </c>
      <c r="BV32" s="363">
        <v>3.5000000000000004</v>
      </c>
      <c r="BW32" s="363">
        <v>3.5000000000000004</v>
      </c>
      <c r="BX32" s="363">
        <v>3.5000000000000004</v>
      </c>
      <c r="BY32" s="363">
        <v>3.5000000000000004</v>
      </c>
      <c r="BZ32" s="363">
        <v>3.5000000000000004</v>
      </c>
      <c r="CA32" s="363">
        <v>3.5000000000000004</v>
      </c>
      <c r="CB32" s="363">
        <v>3.5000000000000004</v>
      </c>
      <c r="CC32" s="363">
        <v>3.5000000000000004</v>
      </c>
      <c r="CD32" s="363">
        <v>3.5000000000000004</v>
      </c>
      <c r="CE32" s="363">
        <v>3.5000000000000004</v>
      </c>
      <c r="CF32" s="363">
        <v>3.5000000000000004</v>
      </c>
      <c r="CG32" s="363">
        <v>3.5000000000000004</v>
      </c>
      <c r="CH32" s="363">
        <v>3.5000000000000004</v>
      </c>
      <c r="CI32" s="363">
        <v>3.5000000000000004</v>
      </c>
      <c r="CJ32" s="363">
        <v>3.5000000000000004</v>
      </c>
      <c r="CK32" s="363">
        <v>3.5000000000000004</v>
      </c>
      <c r="CL32" s="363">
        <v>3.5000000000000004</v>
      </c>
      <c r="CM32" s="363">
        <v>3.5000000000000004</v>
      </c>
      <c r="CN32" s="363">
        <v>3.5000000000000004</v>
      </c>
    </row>
    <row r="33" spans="2:92" ht="42" hidden="1" x14ac:dyDescent="0.35">
      <c r="B33" s="1252"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52cP</v>
      </c>
      <c r="C33" s="1248" t="s">
        <v>1265</v>
      </c>
      <c r="D33" s="1248" t="s">
        <v>1264</v>
      </c>
      <c r="E33" s="1249" t="s">
        <v>1266</v>
      </c>
      <c r="F33" s="1247" t="str">
        <f>VLOOKUP(TBL5_OptBen[[#This Row],[Option Type (defined list)]],'Option Typs_Grps'!B$2:C$47, 2, FALSE)</f>
        <v>Distribution Options</v>
      </c>
      <c r="G33" s="1248" t="s">
        <v>852</v>
      </c>
      <c r="H33" s="1248" t="s">
        <v>851</v>
      </c>
      <c r="I33" s="1250" t="s">
        <v>85</v>
      </c>
      <c r="J33" s="1250" t="s">
        <v>305</v>
      </c>
      <c r="K33" s="1253">
        <v>2</v>
      </c>
      <c r="L33" s="1251"/>
      <c r="M33" s="1581"/>
      <c r="N33" s="1581"/>
      <c r="O33" s="1581"/>
      <c r="P33" s="1581"/>
      <c r="Q33" s="1363"/>
      <c r="R33" s="1364">
        <v>0</v>
      </c>
      <c r="S33" s="363">
        <v>0</v>
      </c>
      <c r="T33" s="363">
        <v>0</v>
      </c>
      <c r="U33" s="363">
        <v>0</v>
      </c>
      <c r="V33" s="363">
        <v>0</v>
      </c>
      <c r="W33" s="1365">
        <v>0</v>
      </c>
      <c r="X33" s="1365">
        <v>0</v>
      </c>
      <c r="Y33" s="1365">
        <v>0</v>
      </c>
      <c r="Z33" s="1365">
        <v>0</v>
      </c>
      <c r="AA33" s="1365">
        <v>0</v>
      </c>
      <c r="AB33" s="1365">
        <v>0.06</v>
      </c>
      <c r="AC33" s="1365">
        <v>0.12</v>
      </c>
      <c r="AD33" s="1365">
        <v>0.18</v>
      </c>
      <c r="AE33" s="1365">
        <v>0.24</v>
      </c>
      <c r="AF33" s="1365">
        <v>0.3</v>
      </c>
      <c r="AG33" s="1365">
        <v>0.36</v>
      </c>
      <c r="AH33" s="1365">
        <v>0.42</v>
      </c>
      <c r="AI33" s="1365">
        <v>0.48</v>
      </c>
      <c r="AJ33" s="1365">
        <v>0.54</v>
      </c>
      <c r="AK33" s="1365">
        <v>0.6</v>
      </c>
      <c r="AL33" s="1365">
        <v>0.61199999999999999</v>
      </c>
      <c r="AM33" s="1365">
        <v>0.624</v>
      </c>
      <c r="AN33" s="1365">
        <v>0.63600000000000001</v>
      </c>
      <c r="AO33" s="1365">
        <v>0.64800000000000002</v>
      </c>
      <c r="AP33" s="1365">
        <v>0.65999999999999992</v>
      </c>
      <c r="AQ33" s="1365">
        <v>0.65999999999999992</v>
      </c>
      <c r="AR33" s="1365">
        <v>0.65999999999999992</v>
      </c>
      <c r="AS33" s="1365">
        <v>0.65999999999999992</v>
      </c>
      <c r="AT33" s="1365">
        <v>0.65999999999999992</v>
      </c>
      <c r="AU33" s="1365">
        <v>0.65999999999999992</v>
      </c>
      <c r="AV33" s="1365">
        <v>0.65999999999999992</v>
      </c>
      <c r="AW33" s="1365">
        <v>0.65999999999999992</v>
      </c>
      <c r="AX33" s="1365">
        <v>0.65999999999999992</v>
      </c>
      <c r="AY33" s="1365">
        <v>0.65999999999999992</v>
      </c>
      <c r="AZ33" s="1365">
        <v>0.65999999999999992</v>
      </c>
      <c r="BA33" s="1365">
        <v>0.65999999999999992</v>
      </c>
      <c r="BB33" s="1365">
        <v>0.65999999999999992</v>
      </c>
      <c r="BC33" s="1365">
        <v>0.65999999999999992</v>
      </c>
      <c r="BD33" s="1365">
        <v>0.65999999999999992</v>
      </c>
      <c r="BE33" s="1365">
        <v>0.65999999999999992</v>
      </c>
      <c r="BF33" s="1365">
        <v>0.65999999999999992</v>
      </c>
      <c r="BG33" s="1365">
        <v>0.65999999999999992</v>
      </c>
      <c r="BH33" s="1365">
        <v>0.65999999999999992</v>
      </c>
      <c r="BI33" s="1365">
        <v>0.65999999999999992</v>
      </c>
      <c r="BJ33" s="1365">
        <v>0.65999999999999992</v>
      </c>
      <c r="BK33" s="1365">
        <v>0.65999999999999992</v>
      </c>
      <c r="BL33" s="1365">
        <v>0.65999999999999992</v>
      </c>
      <c r="BM33" s="1365">
        <v>0.65999999999999992</v>
      </c>
      <c r="BN33" s="1365">
        <v>0.65999999999999992</v>
      </c>
      <c r="BO33" s="1365">
        <v>0.65999999999999992</v>
      </c>
      <c r="BP33" s="1365">
        <v>0.65999999999999992</v>
      </c>
      <c r="BQ33" s="1365">
        <v>0.65999999999999992</v>
      </c>
      <c r="BR33" s="1365">
        <v>0.65999999999999992</v>
      </c>
      <c r="BS33" s="1365">
        <v>0.65999999999999992</v>
      </c>
      <c r="BT33" s="1365">
        <v>0.65999999999999992</v>
      </c>
      <c r="BU33" s="1365">
        <v>0.65999999999999992</v>
      </c>
      <c r="BV33" s="1365">
        <v>0.65999999999999992</v>
      </c>
      <c r="BW33" s="1365">
        <v>0.65999999999999992</v>
      </c>
      <c r="BX33" s="1365">
        <v>0.65999999999999992</v>
      </c>
      <c r="BY33" s="1365">
        <v>0.65999999999999992</v>
      </c>
      <c r="BZ33" s="1365">
        <v>0.65999999999999992</v>
      </c>
      <c r="CA33" s="1365">
        <v>0.65999999999999992</v>
      </c>
      <c r="CB33" s="1365">
        <v>0.65999999999999992</v>
      </c>
      <c r="CC33" s="1365">
        <v>0.65999999999999992</v>
      </c>
      <c r="CD33" s="1365">
        <v>0.65999999999999992</v>
      </c>
      <c r="CE33" s="1365">
        <v>0.65999999999999992</v>
      </c>
      <c r="CF33" s="1365">
        <v>0.65999999999999992</v>
      </c>
      <c r="CG33" s="1365">
        <v>0.65999999999999992</v>
      </c>
      <c r="CH33" s="1365">
        <v>0.65999999999999992</v>
      </c>
      <c r="CI33" s="1365">
        <v>0.65999999999999992</v>
      </c>
      <c r="CJ33" s="1365">
        <v>0.65999999999999992</v>
      </c>
      <c r="CK33" s="1365">
        <v>0.65999999999999992</v>
      </c>
      <c r="CL33" s="1365">
        <v>0.65999999999999992</v>
      </c>
      <c r="CM33" s="1365">
        <v>0.65999999999999992</v>
      </c>
      <c r="CN33" s="1365">
        <v>0.65999999999999992</v>
      </c>
    </row>
    <row r="34" spans="2:92" ht="28" x14ac:dyDescent="0.3">
      <c r="B34" s="1252" t="s">
        <v>1301</v>
      </c>
      <c r="C34" s="1481" t="s">
        <v>2133</v>
      </c>
      <c r="D34" s="1248" t="s">
        <v>2132</v>
      </c>
      <c r="E34" s="1249" t="s">
        <v>1255</v>
      </c>
      <c r="F34" s="1580" t="s">
        <v>1214</v>
      </c>
      <c r="G34" s="1248" t="s">
        <v>852</v>
      </c>
      <c r="H34" s="1248" t="s">
        <v>851</v>
      </c>
      <c r="I34" s="1250" t="s">
        <v>85</v>
      </c>
      <c r="J34" s="1250" t="s">
        <v>305</v>
      </c>
      <c r="K34" s="1253">
        <v>2</v>
      </c>
      <c r="L34" s="1251"/>
      <c r="M34" s="1581"/>
      <c r="N34" s="1581"/>
      <c r="O34" s="1581"/>
      <c r="P34" s="1581"/>
      <c r="Q34" s="1363"/>
      <c r="R34" s="1364">
        <v>0.318</v>
      </c>
      <c r="S34" s="1364">
        <v>0.63600000000000001</v>
      </c>
      <c r="T34" s="1364">
        <v>0.95399999999999996</v>
      </c>
      <c r="U34" s="1364">
        <v>1.272</v>
      </c>
      <c r="V34" s="1364">
        <v>1.59</v>
      </c>
      <c r="W34" s="1364">
        <v>1.8180000000000001</v>
      </c>
      <c r="X34" s="1364">
        <v>2.0460000000000003</v>
      </c>
      <c r="Y34" s="1364">
        <v>2.274</v>
      </c>
      <c r="Z34" s="1364">
        <v>2.5020000000000002</v>
      </c>
      <c r="AA34" s="1364">
        <v>2.7300000000000004</v>
      </c>
      <c r="AB34" s="1364">
        <v>2.4260000000000006</v>
      </c>
      <c r="AC34" s="1364">
        <v>2.1220000000000003</v>
      </c>
      <c r="AD34" s="1364">
        <v>1.8180000000000005</v>
      </c>
      <c r="AE34" s="1364">
        <v>1.5140000000000005</v>
      </c>
      <c r="AF34" s="1364">
        <v>1.2100000000000004</v>
      </c>
      <c r="AG34" s="1364">
        <v>0.98000000000000043</v>
      </c>
      <c r="AH34" s="1364">
        <v>0.75000000000000044</v>
      </c>
      <c r="AI34" s="1364">
        <v>0.52000000000000035</v>
      </c>
      <c r="AJ34" s="1364">
        <v>0.29000000000000037</v>
      </c>
      <c r="AK34" s="1364">
        <v>6.0000000000000275E-2</v>
      </c>
      <c r="AL34" s="1364">
        <v>4.8000000000000174E-2</v>
      </c>
      <c r="AM34" s="1364">
        <v>3.6000000000000074E-2</v>
      </c>
      <c r="AN34" s="1364">
        <v>2.3999999999999973E-2</v>
      </c>
      <c r="AO34" s="1364">
        <v>1.1999999999999872E-2</v>
      </c>
      <c r="AP34" s="1364">
        <v>-2.2898349882893854E-16</v>
      </c>
      <c r="AQ34" s="1364">
        <v>-2.2898349882893854E-16</v>
      </c>
      <c r="AR34" s="1364">
        <v>-2.2898349882893854E-16</v>
      </c>
      <c r="AS34" s="1364">
        <v>-2.2898349882893854E-16</v>
      </c>
      <c r="AT34" s="1364">
        <v>-2.2898349882893854E-16</v>
      </c>
      <c r="AU34" s="1364">
        <v>-2.2898349882893854E-16</v>
      </c>
      <c r="AV34" s="1364">
        <v>-2.2898349882893854E-16</v>
      </c>
      <c r="AW34" s="1364">
        <v>-2.2898349882893854E-16</v>
      </c>
      <c r="AX34" s="1364">
        <v>-2.2898349882893854E-16</v>
      </c>
      <c r="AY34" s="1364">
        <v>-2.2898349882893854E-16</v>
      </c>
      <c r="AZ34" s="1364">
        <v>-2.2898349882893854E-16</v>
      </c>
      <c r="BA34" s="1364">
        <v>-2.2898349882893854E-16</v>
      </c>
      <c r="BB34" s="1364">
        <v>-2.2898349882893854E-16</v>
      </c>
      <c r="BC34" s="1364">
        <v>-2.2898349882893854E-16</v>
      </c>
      <c r="BD34" s="1364">
        <v>-2.2898349882893854E-16</v>
      </c>
      <c r="BE34" s="1364">
        <v>-2.2898349882893854E-16</v>
      </c>
      <c r="BF34" s="1364">
        <v>-2.2898349882893854E-16</v>
      </c>
      <c r="BG34" s="1364">
        <v>-2.2898349882893854E-16</v>
      </c>
      <c r="BH34" s="1364">
        <v>-2.2898349882893854E-16</v>
      </c>
      <c r="BI34" s="1364">
        <v>-2.2898349882893854E-16</v>
      </c>
      <c r="BJ34" s="1364">
        <v>-2.2898349882893854E-16</v>
      </c>
      <c r="BK34" s="1364">
        <v>-2.2898349882893854E-16</v>
      </c>
      <c r="BL34" s="1364">
        <v>-2.2898349882893854E-16</v>
      </c>
      <c r="BM34" s="1364">
        <v>-2.2898349882893854E-16</v>
      </c>
      <c r="BN34" s="1364">
        <v>-2.2898349882893854E-16</v>
      </c>
      <c r="BO34" s="1364">
        <v>-2.2898349882893854E-16</v>
      </c>
      <c r="BP34" s="1364">
        <v>-2.2898349882893854E-16</v>
      </c>
      <c r="BQ34" s="1364">
        <v>-2.2898349882893854E-16</v>
      </c>
      <c r="BR34" s="1364">
        <v>-2.2898349882893854E-16</v>
      </c>
      <c r="BS34" s="1364">
        <v>-2.2898349882893854E-16</v>
      </c>
      <c r="BT34" s="1364">
        <v>-2.2898349882893854E-16</v>
      </c>
      <c r="BU34" s="1364">
        <v>-2.2898349882893854E-16</v>
      </c>
      <c r="BV34" s="1364">
        <v>-2.2898349882893854E-16</v>
      </c>
      <c r="BW34" s="1364">
        <v>-2.2898349882893854E-16</v>
      </c>
      <c r="BX34" s="1364">
        <v>-2.2898349882893854E-16</v>
      </c>
      <c r="BY34" s="1364">
        <v>-2.2898349882893854E-16</v>
      </c>
      <c r="BZ34" s="1364">
        <v>-2.2898349882893854E-16</v>
      </c>
      <c r="CA34" s="1364">
        <v>-2.2898349882893854E-16</v>
      </c>
      <c r="CB34" s="1364">
        <v>-2.2898349882893854E-16</v>
      </c>
      <c r="CC34" s="1364">
        <v>-2.2898349882893854E-16</v>
      </c>
      <c r="CD34" s="1364">
        <v>-2.2898349882893854E-16</v>
      </c>
      <c r="CE34" s="1364">
        <v>-2.2898349882893854E-16</v>
      </c>
      <c r="CF34" s="1364">
        <v>-2.2898349882893854E-16</v>
      </c>
      <c r="CG34" s="1364">
        <v>-2.2898349882893854E-16</v>
      </c>
      <c r="CH34" s="1364">
        <v>-2.2898349882893854E-16</v>
      </c>
      <c r="CI34" s="1364">
        <v>-2.2898349882893854E-16</v>
      </c>
      <c r="CJ34" s="1364">
        <v>-2.2898349882893854E-16</v>
      </c>
      <c r="CK34" s="1364">
        <v>-2.2898349882893854E-16</v>
      </c>
      <c r="CL34" s="1364">
        <v>-2.2898349882893854E-16</v>
      </c>
      <c r="CM34" s="1364">
        <v>-2.2898349882893854E-16</v>
      </c>
      <c r="CN34" s="1364">
        <v>-2.2898349882893854E-16</v>
      </c>
    </row>
    <row r="35" spans="2:92" ht="28" x14ac:dyDescent="0.35">
      <c r="B35" s="1252" t="s">
        <v>1301</v>
      </c>
      <c r="C35" s="1409" t="s">
        <v>2135</v>
      </c>
      <c r="D35" s="1248" t="s">
        <v>2134</v>
      </c>
      <c r="E35" s="1249" t="s">
        <v>1274</v>
      </c>
      <c r="F35" s="1580" t="s">
        <v>1088</v>
      </c>
      <c r="G35" s="1248" t="s">
        <v>852</v>
      </c>
      <c r="H35" s="1248" t="s">
        <v>851</v>
      </c>
      <c r="I35" s="1250" t="s">
        <v>85</v>
      </c>
      <c r="J35" s="1250" t="s">
        <v>305</v>
      </c>
      <c r="K35" s="1253">
        <v>2</v>
      </c>
      <c r="L35" s="1251"/>
      <c r="M35" s="1581"/>
      <c r="N35" s="1581"/>
      <c r="O35" s="1581"/>
      <c r="P35" s="1581"/>
      <c r="Q35" s="1363"/>
      <c r="R35" s="1364">
        <v>0</v>
      </c>
      <c r="S35" s="1364">
        <v>0</v>
      </c>
      <c r="T35" s="1364">
        <v>0</v>
      </c>
      <c r="U35" s="1364">
        <v>0</v>
      </c>
      <c r="V35" s="1364">
        <v>0.13486073293168299</v>
      </c>
      <c r="W35" s="1364">
        <v>0.27358059188231798</v>
      </c>
      <c r="X35" s="1364">
        <v>0.41530400057688299</v>
      </c>
      <c r="Y35" s="1364">
        <v>0.55835903588698699</v>
      </c>
      <c r="Z35" s="1364">
        <v>0.70400838955184697</v>
      </c>
      <c r="AA35" s="1364">
        <v>0.85245872329848205</v>
      </c>
      <c r="AB35" s="1364">
        <v>1.1597157717469599</v>
      </c>
      <c r="AC35" s="1364">
        <v>1.46999754553782</v>
      </c>
      <c r="AD35" s="1364">
        <v>1.7832920109607799</v>
      </c>
      <c r="AE35" s="1364">
        <v>2.1017250883327798</v>
      </c>
      <c r="AF35" s="1364">
        <v>2.42187381770461</v>
      </c>
      <c r="AG35" s="1364">
        <v>2.7456594726766301</v>
      </c>
      <c r="AH35" s="1364">
        <v>3.0726044612208501</v>
      </c>
      <c r="AI35" s="1364">
        <v>3.4024687841332799</v>
      </c>
      <c r="AJ35" s="1364">
        <v>3.73551686768519</v>
      </c>
      <c r="AK35" s="1364">
        <v>4.0711229710592702</v>
      </c>
      <c r="AL35" s="1364">
        <v>4.1963961342818603</v>
      </c>
      <c r="AM35" s="1364">
        <v>4.3216996634544103</v>
      </c>
      <c r="AN35" s="1364">
        <v>4.4474370378613601</v>
      </c>
      <c r="AO35" s="1364">
        <v>4.5730443428297498</v>
      </c>
      <c r="AP35" s="1364">
        <v>4.6977937971219399</v>
      </c>
      <c r="AQ35" s="1364">
        <v>4.81147585610832</v>
      </c>
      <c r="AR35" s="1364">
        <v>4.9251900711853001</v>
      </c>
      <c r="AS35" s="1364">
        <v>5.0389733689304901</v>
      </c>
      <c r="AT35" s="1364">
        <v>5.0430610217068601</v>
      </c>
      <c r="AU35" s="1364">
        <v>5.0470549125245601</v>
      </c>
      <c r="AV35" s="1364">
        <v>5.0506508904729701</v>
      </c>
      <c r="AW35" s="1364">
        <v>5.0542857432665498</v>
      </c>
      <c r="AX35" s="1364">
        <v>5.05768095531909</v>
      </c>
      <c r="AY35" s="1364">
        <v>5.0607461136446599</v>
      </c>
      <c r="AZ35" s="1364">
        <v>5.0636812130769204</v>
      </c>
      <c r="BA35" s="1364">
        <v>5.0663155204205204</v>
      </c>
      <c r="BB35" s="1364">
        <v>5.0688706795882403</v>
      </c>
      <c r="BC35" s="1364">
        <v>5.0713102756860504</v>
      </c>
      <c r="BD35" s="1364">
        <v>5.0734611811257802</v>
      </c>
      <c r="BE35" s="1364">
        <v>5.0755169118676902</v>
      </c>
      <c r="BF35" s="1364">
        <v>5.0775427472182697</v>
      </c>
      <c r="BG35" s="1364">
        <v>5.0797545844033598</v>
      </c>
      <c r="BH35" s="1364">
        <v>5.0820098590454998</v>
      </c>
      <c r="BI35" s="1364">
        <v>5.0844123001421497</v>
      </c>
      <c r="BJ35" s="1364">
        <v>5.0868824287175398</v>
      </c>
      <c r="BK35" s="1364">
        <v>5.0894491907225996</v>
      </c>
      <c r="BL35" s="1364">
        <v>5.0923656354075799</v>
      </c>
      <c r="BM35" s="1364">
        <v>5.0955305397941304</v>
      </c>
      <c r="BN35" s="1364">
        <v>5.09906008877494</v>
      </c>
      <c r="BO35" s="1364">
        <v>5.1028825900133299</v>
      </c>
      <c r="BP35" s="1364">
        <v>5.1069083373112996</v>
      </c>
      <c r="BQ35" s="1364">
        <v>5.1113066880967999</v>
      </c>
      <c r="BR35" s="1364">
        <v>5.1160936528041496</v>
      </c>
      <c r="BS35" s="1364">
        <v>5.1212273402457997</v>
      </c>
      <c r="BT35" s="1364">
        <v>5.1266996129731002</v>
      </c>
      <c r="BU35" s="1364">
        <v>5.1324322919277297</v>
      </c>
      <c r="BV35" s="1364">
        <v>5.13843343951297</v>
      </c>
      <c r="BW35" s="1364">
        <v>5.1447176243406396</v>
      </c>
      <c r="BX35" s="1364">
        <v>5.1511721009597897</v>
      </c>
      <c r="BY35" s="1364">
        <v>5.1578081482699103</v>
      </c>
      <c r="BZ35" s="1364">
        <v>5.16452954320508</v>
      </c>
      <c r="CA35" s="1364">
        <v>5.1714196550080702</v>
      </c>
      <c r="CB35" s="1364">
        <v>5.1783005938893796</v>
      </c>
      <c r="CC35" s="1364">
        <v>5.1852025447030599</v>
      </c>
      <c r="CD35" s="1364">
        <v>5.1920746035935199</v>
      </c>
      <c r="CE35" s="1364">
        <v>5.1988574579146203</v>
      </c>
      <c r="CF35" s="1364">
        <v>5.2055982664281801</v>
      </c>
      <c r="CG35" s="1364">
        <v>5.2123265040457998</v>
      </c>
      <c r="CH35" s="1364">
        <v>5.2190314424520698</v>
      </c>
      <c r="CI35" s="1364">
        <v>5.2256642304908398</v>
      </c>
      <c r="CJ35" s="1364">
        <v>5.2321092410700096</v>
      </c>
      <c r="CK35" s="1364">
        <v>5.2384181277827198</v>
      </c>
      <c r="CL35" s="1364">
        <v>5.2446732671048997</v>
      </c>
      <c r="CM35" s="1364">
        <v>5.2508771590190202</v>
      </c>
      <c r="CN35" s="1364">
        <v>5.2569159499999998</v>
      </c>
    </row>
    <row r="36" spans="2:92" ht="42" x14ac:dyDescent="0.35">
      <c r="B36" s="1252" t="s">
        <v>1301</v>
      </c>
      <c r="C36" s="1248" t="s">
        <v>1276</v>
      </c>
      <c r="D36" s="1248" t="s">
        <v>1275</v>
      </c>
      <c r="E36" s="1249" t="s">
        <v>1277</v>
      </c>
      <c r="F36" s="1580" t="s">
        <v>1088</v>
      </c>
      <c r="G36" s="1248" t="s">
        <v>852</v>
      </c>
      <c r="H36" s="1248" t="s">
        <v>851</v>
      </c>
      <c r="I36" s="1250" t="s">
        <v>85</v>
      </c>
      <c r="J36" s="1250" t="s">
        <v>305</v>
      </c>
      <c r="K36" s="1253">
        <v>2</v>
      </c>
      <c r="L36" s="1251"/>
      <c r="M36" s="1581"/>
      <c r="N36" s="1581"/>
      <c r="O36" s="1581"/>
      <c r="P36" s="1581"/>
      <c r="Q36" s="1363"/>
      <c r="R36" s="1364">
        <v>0.154</v>
      </c>
      <c r="S36" s="1364">
        <v>0.308</v>
      </c>
      <c r="T36" s="1364">
        <v>0.46199999999999997</v>
      </c>
      <c r="U36" s="1364">
        <v>0.61599999999999999</v>
      </c>
      <c r="V36" s="1364">
        <v>0.77</v>
      </c>
      <c r="W36" s="1364">
        <v>0.88600000000000001</v>
      </c>
      <c r="X36" s="1364">
        <v>1.002</v>
      </c>
      <c r="Y36" s="1364">
        <v>1.1180000000000001</v>
      </c>
      <c r="Z36" s="1364">
        <v>1.234</v>
      </c>
      <c r="AA36" s="1364">
        <v>1.35</v>
      </c>
      <c r="AB36" s="1364">
        <v>1.35</v>
      </c>
      <c r="AC36" s="1364">
        <v>1.35</v>
      </c>
      <c r="AD36" s="1364">
        <v>1.35</v>
      </c>
      <c r="AE36" s="1364">
        <v>1.35</v>
      </c>
      <c r="AF36" s="1364">
        <v>1.35</v>
      </c>
      <c r="AG36" s="1364">
        <v>1.35</v>
      </c>
      <c r="AH36" s="1364">
        <v>1.35</v>
      </c>
      <c r="AI36" s="1364">
        <v>1.35</v>
      </c>
      <c r="AJ36" s="1364">
        <v>1.35</v>
      </c>
      <c r="AK36" s="1364">
        <v>1.35</v>
      </c>
      <c r="AL36" s="1364">
        <v>1.35</v>
      </c>
      <c r="AM36" s="1364">
        <v>1.35</v>
      </c>
      <c r="AN36" s="1364">
        <v>1.35</v>
      </c>
      <c r="AO36" s="1364">
        <v>1.35</v>
      </c>
      <c r="AP36" s="1364">
        <v>1.35</v>
      </c>
      <c r="AQ36" s="1364">
        <v>1.35</v>
      </c>
      <c r="AR36" s="1364">
        <v>1.35</v>
      </c>
      <c r="AS36" s="1364">
        <v>1.35</v>
      </c>
      <c r="AT36" s="1364">
        <v>1.35</v>
      </c>
      <c r="AU36" s="1364">
        <v>1.35</v>
      </c>
      <c r="AV36" s="1364">
        <v>1.35</v>
      </c>
      <c r="AW36" s="1364">
        <v>1.35</v>
      </c>
      <c r="AX36" s="1364">
        <v>1.35</v>
      </c>
      <c r="AY36" s="1364">
        <v>1.35</v>
      </c>
      <c r="AZ36" s="1364">
        <v>1.35</v>
      </c>
      <c r="BA36" s="1364">
        <v>1.35</v>
      </c>
      <c r="BB36" s="1364">
        <v>1.35</v>
      </c>
      <c r="BC36" s="1364">
        <v>1.35</v>
      </c>
      <c r="BD36" s="1364">
        <v>1.35</v>
      </c>
      <c r="BE36" s="1364">
        <v>1.35</v>
      </c>
      <c r="BF36" s="1364">
        <v>1.35</v>
      </c>
      <c r="BG36" s="1364">
        <v>1.35</v>
      </c>
      <c r="BH36" s="1364">
        <v>1.35</v>
      </c>
      <c r="BI36" s="1364">
        <v>1.35</v>
      </c>
      <c r="BJ36" s="1364">
        <v>1.35</v>
      </c>
      <c r="BK36" s="1364">
        <v>1.35</v>
      </c>
      <c r="BL36" s="1364">
        <v>1.35</v>
      </c>
      <c r="BM36" s="1364">
        <v>1.35</v>
      </c>
      <c r="BN36" s="1364">
        <v>1.35</v>
      </c>
      <c r="BO36" s="1364">
        <v>1.35</v>
      </c>
      <c r="BP36" s="1364">
        <v>1.35</v>
      </c>
      <c r="BQ36" s="1364">
        <v>1.35</v>
      </c>
      <c r="BR36" s="1364">
        <v>1.35</v>
      </c>
      <c r="BS36" s="1364">
        <v>1.35</v>
      </c>
      <c r="BT36" s="1364">
        <v>1.35</v>
      </c>
      <c r="BU36" s="1364">
        <v>1.35</v>
      </c>
      <c r="BV36" s="1364">
        <v>1.35</v>
      </c>
      <c r="BW36" s="1364">
        <v>1.35</v>
      </c>
      <c r="BX36" s="1364">
        <v>1.35</v>
      </c>
      <c r="BY36" s="1364">
        <v>1.35</v>
      </c>
      <c r="BZ36" s="1364">
        <v>1.35</v>
      </c>
      <c r="CA36" s="1364">
        <v>1.35</v>
      </c>
      <c r="CB36" s="1364">
        <v>1.35</v>
      </c>
      <c r="CC36" s="1364">
        <v>1.35</v>
      </c>
      <c r="CD36" s="1364">
        <v>1.35</v>
      </c>
      <c r="CE36" s="1364">
        <v>1.35</v>
      </c>
      <c r="CF36" s="1364">
        <v>1.35</v>
      </c>
      <c r="CG36" s="1364">
        <v>1.35</v>
      </c>
      <c r="CH36" s="1364">
        <v>1.35</v>
      </c>
      <c r="CI36" s="1364">
        <v>1.35</v>
      </c>
      <c r="CJ36" s="1364">
        <v>1.35</v>
      </c>
      <c r="CK36" s="1364">
        <v>1.35</v>
      </c>
      <c r="CL36" s="1364">
        <v>1.35</v>
      </c>
      <c r="CM36" s="1364">
        <v>1.35</v>
      </c>
      <c r="CN36" s="1364">
        <v>1.35</v>
      </c>
    </row>
    <row r="37" spans="2:92" x14ac:dyDescent="0.35">
      <c r="B37" s="1252" t="s">
        <v>1301</v>
      </c>
      <c r="C37" s="1248" t="s">
        <v>1281</v>
      </c>
      <c r="D37" s="1248" t="s">
        <v>1280</v>
      </c>
      <c r="E37" s="1249" t="s">
        <v>1282</v>
      </c>
      <c r="F37" s="1580" t="s">
        <v>1088</v>
      </c>
      <c r="G37" s="1248" t="s">
        <v>852</v>
      </c>
      <c r="H37" s="1248" t="s">
        <v>851</v>
      </c>
      <c r="I37" s="1250" t="s">
        <v>85</v>
      </c>
      <c r="J37" s="1250" t="s">
        <v>305</v>
      </c>
      <c r="K37" s="1253">
        <v>2</v>
      </c>
      <c r="L37" s="362"/>
      <c r="M37" s="362"/>
      <c r="N37" s="362"/>
      <c r="O37" s="1361"/>
      <c r="P37" s="1362"/>
      <c r="Q37" s="1363"/>
      <c r="R37" s="1364">
        <v>0</v>
      </c>
      <c r="S37" s="363">
        <v>0</v>
      </c>
      <c r="T37" s="363">
        <v>0</v>
      </c>
      <c r="U37" s="363">
        <v>0</v>
      </c>
      <c r="V37" s="363">
        <v>0</v>
      </c>
      <c r="W37" s="363">
        <v>7.3999999999999996E-2</v>
      </c>
      <c r="X37" s="363">
        <v>0.14799999999999999</v>
      </c>
      <c r="Y37" s="363">
        <v>0.22199999999999998</v>
      </c>
      <c r="Z37" s="363">
        <v>0.29599999999999999</v>
      </c>
      <c r="AA37" s="363">
        <v>0.37</v>
      </c>
      <c r="AB37" s="363">
        <v>0.438</v>
      </c>
      <c r="AC37" s="363">
        <v>0.50600000000000001</v>
      </c>
      <c r="AD37" s="363">
        <v>0.57400000000000007</v>
      </c>
      <c r="AE37" s="363">
        <v>0.64200000000000002</v>
      </c>
      <c r="AF37" s="363">
        <v>0.71</v>
      </c>
      <c r="AG37" s="363">
        <v>0.71</v>
      </c>
      <c r="AH37" s="363">
        <v>0.71</v>
      </c>
      <c r="AI37" s="363">
        <v>0.71</v>
      </c>
      <c r="AJ37" s="363">
        <v>0.71</v>
      </c>
      <c r="AK37" s="363">
        <v>0.71</v>
      </c>
      <c r="AL37" s="363">
        <v>0.76400000000000001</v>
      </c>
      <c r="AM37" s="363">
        <v>0.81799999999999995</v>
      </c>
      <c r="AN37" s="363">
        <v>0.872</v>
      </c>
      <c r="AO37" s="363">
        <v>0.92599999999999993</v>
      </c>
      <c r="AP37" s="363">
        <v>0.98</v>
      </c>
      <c r="AQ37" s="363">
        <v>0.98</v>
      </c>
      <c r="AR37" s="363">
        <v>0.98</v>
      </c>
      <c r="AS37" s="363">
        <v>0.98</v>
      </c>
      <c r="AT37" s="363">
        <v>0.98</v>
      </c>
      <c r="AU37" s="363">
        <v>0.98</v>
      </c>
      <c r="AV37" s="363">
        <v>0.98</v>
      </c>
      <c r="AW37" s="363">
        <v>0.98</v>
      </c>
      <c r="AX37" s="363">
        <v>0.98</v>
      </c>
      <c r="AY37" s="363">
        <v>0.98</v>
      </c>
      <c r="AZ37" s="363">
        <v>0.98</v>
      </c>
      <c r="BA37" s="363">
        <v>0.98</v>
      </c>
      <c r="BB37" s="363">
        <v>0.98</v>
      </c>
      <c r="BC37" s="363">
        <v>0.98</v>
      </c>
      <c r="BD37" s="363">
        <v>0.98</v>
      </c>
      <c r="BE37" s="363">
        <v>0.98</v>
      </c>
      <c r="BF37" s="363">
        <v>0.98</v>
      </c>
      <c r="BG37" s="363">
        <v>0.98</v>
      </c>
      <c r="BH37" s="363">
        <v>0.98</v>
      </c>
      <c r="BI37" s="363">
        <v>0.98</v>
      </c>
      <c r="BJ37" s="363">
        <v>0.98</v>
      </c>
      <c r="BK37" s="363">
        <v>0.98</v>
      </c>
      <c r="BL37" s="363">
        <v>0.98</v>
      </c>
      <c r="BM37" s="363">
        <v>0.98</v>
      </c>
      <c r="BN37" s="363">
        <v>0.98</v>
      </c>
      <c r="BO37" s="363">
        <v>0.98</v>
      </c>
      <c r="BP37" s="363">
        <v>0.98</v>
      </c>
      <c r="BQ37" s="363">
        <v>0.98</v>
      </c>
      <c r="BR37" s="363">
        <v>0.98</v>
      </c>
      <c r="BS37" s="363">
        <v>0.98</v>
      </c>
      <c r="BT37" s="363">
        <v>0.98</v>
      </c>
      <c r="BU37" s="363">
        <v>0.98</v>
      </c>
      <c r="BV37" s="363">
        <v>0.98</v>
      </c>
      <c r="BW37" s="363">
        <v>0.98</v>
      </c>
      <c r="BX37" s="363">
        <v>0.98</v>
      </c>
      <c r="BY37" s="363">
        <v>0.98</v>
      </c>
      <c r="BZ37" s="363">
        <v>0.98</v>
      </c>
      <c r="CA37" s="363">
        <v>0.98</v>
      </c>
      <c r="CB37" s="363">
        <v>0.98</v>
      </c>
      <c r="CC37" s="363">
        <v>0.98</v>
      </c>
      <c r="CD37" s="363">
        <v>0.98</v>
      </c>
      <c r="CE37" s="363">
        <v>0.98</v>
      </c>
      <c r="CF37" s="363">
        <v>0.98</v>
      </c>
      <c r="CG37" s="363">
        <v>0.98</v>
      </c>
      <c r="CH37" s="363">
        <v>0.98</v>
      </c>
      <c r="CI37" s="363">
        <v>0.98</v>
      </c>
      <c r="CJ37" s="363">
        <v>0.98</v>
      </c>
      <c r="CK37" s="363">
        <v>0.98</v>
      </c>
      <c r="CL37" s="363">
        <v>0.98</v>
      </c>
      <c r="CM37" s="363">
        <v>0.98</v>
      </c>
      <c r="CN37" s="363">
        <v>0.98</v>
      </c>
    </row>
    <row r="38" spans="2:92" ht="28" x14ac:dyDescent="0.35">
      <c r="B38" s="1252" t="s">
        <v>1301</v>
      </c>
      <c r="C38" s="1248" t="s">
        <v>1415</v>
      </c>
      <c r="D38" s="1248" t="s">
        <v>2171</v>
      </c>
      <c r="E38" s="1249" t="s">
        <v>2153</v>
      </c>
      <c r="F38" s="1580" t="s">
        <v>1088</v>
      </c>
      <c r="G38" s="1248" t="s">
        <v>852</v>
      </c>
      <c r="H38" s="1248" t="s">
        <v>1466</v>
      </c>
      <c r="I38" s="1250" t="s">
        <v>85</v>
      </c>
      <c r="J38" s="1250" t="s">
        <v>305</v>
      </c>
      <c r="K38" s="1253">
        <v>2</v>
      </c>
      <c r="L38" s="362"/>
      <c r="M38" s="362"/>
      <c r="N38" s="362"/>
      <c r="O38" s="1361"/>
      <c r="P38" s="1362"/>
      <c r="Q38" s="1363"/>
      <c r="R38" s="1364">
        <v>3</v>
      </c>
      <c r="S38" s="1364">
        <v>3</v>
      </c>
      <c r="T38" s="1364">
        <v>3</v>
      </c>
      <c r="U38" s="1364">
        <v>3</v>
      </c>
      <c r="V38" s="1364">
        <v>3</v>
      </c>
      <c r="W38" s="1364">
        <v>3</v>
      </c>
      <c r="X38" s="1364">
        <v>3</v>
      </c>
      <c r="Y38" s="1364">
        <v>3</v>
      </c>
      <c r="Z38" s="1364">
        <v>3</v>
      </c>
      <c r="AA38" s="1364">
        <v>3</v>
      </c>
      <c r="AB38" s="1364">
        <v>3</v>
      </c>
      <c r="AC38" s="1364">
        <v>3</v>
      </c>
      <c r="AD38" s="1364">
        <v>3</v>
      </c>
      <c r="AE38" s="1364">
        <v>3</v>
      </c>
      <c r="AF38" s="1364">
        <v>3</v>
      </c>
      <c r="AG38" s="1364">
        <v>3</v>
      </c>
      <c r="AH38" s="1364">
        <v>3</v>
      </c>
      <c r="AI38" s="1364">
        <v>3</v>
      </c>
      <c r="AJ38" s="1364">
        <v>3</v>
      </c>
      <c r="AK38" s="1364">
        <v>3</v>
      </c>
      <c r="AL38" s="1364">
        <v>3</v>
      </c>
      <c r="AM38" s="1364">
        <v>3</v>
      </c>
      <c r="AN38" s="1364">
        <v>3</v>
      </c>
      <c r="AO38" s="1364">
        <v>3</v>
      </c>
      <c r="AP38" s="1364">
        <v>3</v>
      </c>
      <c r="AQ38" s="1364">
        <v>3</v>
      </c>
      <c r="AR38" s="1364">
        <v>3</v>
      </c>
      <c r="AS38" s="1364">
        <v>3</v>
      </c>
      <c r="AT38" s="1364">
        <v>3</v>
      </c>
      <c r="AU38" s="1364">
        <v>3</v>
      </c>
      <c r="AV38" s="1364">
        <v>3</v>
      </c>
      <c r="AW38" s="1364">
        <v>3</v>
      </c>
      <c r="AX38" s="1364">
        <v>3</v>
      </c>
      <c r="AY38" s="1364">
        <v>3</v>
      </c>
      <c r="AZ38" s="1364">
        <v>3</v>
      </c>
      <c r="BA38" s="1364">
        <v>3</v>
      </c>
      <c r="BB38" s="1364">
        <v>3</v>
      </c>
      <c r="BC38" s="1364">
        <v>3</v>
      </c>
      <c r="BD38" s="1364">
        <v>3</v>
      </c>
      <c r="BE38" s="1364">
        <v>3</v>
      </c>
      <c r="BF38" s="1364">
        <v>3</v>
      </c>
      <c r="BG38" s="1364">
        <v>3</v>
      </c>
      <c r="BH38" s="1364">
        <v>3</v>
      </c>
      <c r="BI38" s="1364">
        <v>3</v>
      </c>
      <c r="BJ38" s="1364">
        <v>3</v>
      </c>
      <c r="BK38" s="1364">
        <v>3</v>
      </c>
      <c r="BL38" s="1364">
        <v>3</v>
      </c>
      <c r="BM38" s="1364">
        <v>3</v>
      </c>
      <c r="BN38" s="1364">
        <v>3</v>
      </c>
      <c r="BO38" s="1364">
        <v>3</v>
      </c>
      <c r="BP38" s="1364">
        <v>3</v>
      </c>
      <c r="BQ38" s="1364">
        <v>3</v>
      </c>
      <c r="BR38" s="1364">
        <v>3</v>
      </c>
      <c r="BS38" s="1364">
        <v>3</v>
      </c>
      <c r="BT38" s="1364">
        <v>3</v>
      </c>
      <c r="BU38" s="1364">
        <v>3</v>
      </c>
      <c r="BV38" s="1364">
        <v>3</v>
      </c>
      <c r="BW38" s="1364">
        <v>3</v>
      </c>
      <c r="BX38" s="1364">
        <v>3</v>
      </c>
      <c r="BY38" s="1364">
        <v>3</v>
      </c>
      <c r="BZ38" s="1364">
        <v>3</v>
      </c>
      <c r="CA38" s="1364">
        <v>3</v>
      </c>
      <c r="CB38" s="1364">
        <v>3</v>
      </c>
      <c r="CC38" s="1364">
        <v>3</v>
      </c>
      <c r="CD38" s="1364">
        <v>3</v>
      </c>
      <c r="CE38" s="1364">
        <v>3</v>
      </c>
      <c r="CF38" s="1364">
        <v>3</v>
      </c>
      <c r="CG38" s="1364">
        <v>3</v>
      </c>
      <c r="CH38" s="1364">
        <v>3</v>
      </c>
      <c r="CI38" s="1364">
        <v>3</v>
      </c>
      <c r="CJ38" s="1364">
        <v>3</v>
      </c>
      <c r="CK38" s="1364">
        <v>3</v>
      </c>
      <c r="CL38" s="1364">
        <v>3</v>
      </c>
      <c r="CM38" s="1364">
        <v>3</v>
      </c>
      <c r="CN38" s="1364">
        <v>3</v>
      </c>
    </row>
    <row r="39" spans="2:92" ht="28" x14ac:dyDescent="0.35">
      <c r="B39" s="1252" t="s">
        <v>2154</v>
      </c>
      <c r="C39" s="1480" t="s">
        <v>2111</v>
      </c>
      <c r="D39" s="1409" t="s">
        <v>2110</v>
      </c>
      <c r="E39" s="1249" t="s">
        <v>2153</v>
      </c>
      <c r="F39" s="1580" t="s">
        <v>1088</v>
      </c>
      <c r="G39" s="1248" t="s">
        <v>852</v>
      </c>
      <c r="H39" s="1248" t="s">
        <v>1466</v>
      </c>
      <c r="I39" s="1250" t="s">
        <v>85</v>
      </c>
      <c r="J39" s="1250" t="s">
        <v>305</v>
      </c>
      <c r="K39" s="1253">
        <v>2</v>
      </c>
      <c r="L39" s="362"/>
      <c r="M39" s="362"/>
      <c r="N39" s="362"/>
      <c r="O39" s="1361"/>
      <c r="P39" s="1362"/>
      <c r="Q39" s="1363"/>
      <c r="R39" s="1364">
        <v>5</v>
      </c>
      <c r="S39" s="1364">
        <v>5</v>
      </c>
      <c r="T39" s="1364">
        <v>5</v>
      </c>
      <c r="U39" s="1364">
        <v>5</v>
      </c>
      <c r="V39" s="1364">
        <v>5</v>
      </c>
      <c r="W39" s="1364">
        <v>5</v>
      </c>
      <c r="X39" s="1364">
        <v>5</v>
      </c>
      <c r="Y39" s="1364">
        <v>5</v>
      </c>
      <c r="Z39" s="1364">
        <v>5</v>
      </c>
      <c r="AA39" s="1364">
        <v>5</v>
      </c>
      <c r="AB39" s="1364">
        <v>5</v>
      </c>
      <c r="AC39" s="1364">
        <v>5</v>
      </c>
      <c r="AD39" s="1364">
        <v>5</v>
      </c>
      <c r="AE39" s="1364">
        <v>5</v>
      </c>
      <c r="AF39" s="1364">
        <v>5</v>
      </c>
      <c r="AG39" s="1364">
        <v>5</v>
      </c>
      <c r="AH39" s="1364">
        <v>5</v>
      </c>
      <c r="AI39" s="1364">
        <v>5</v>
      </c>
      <c r="AJ39" s="1364">
        <v>5</v>
      </c>
      <c r="AK39" s="1364">
        <v>5</v>
      </c>
      <c r="AL39" s="1364">
        <v>5</v>
      </c>
      <c r="AM39" s="1364">
        <v>5</v>
      </c>
      <c r="AN39" s="1364">
        <v>5</v>
      </c>
      <c r="AO39" s="1364">
        <v>5</v>
      </c>
      <c r="AP39" s="1364">
        <v>5</v>
      </c>
      <c r="AQ39" s="1364">
        <v>5</v>
      </c>
      <c r="AR39" s="1364">
        <v>5</v>
      </c>
      <c r="AS39" s="1364">
        <v>5</v>
      </c>
      <c r="AT39" s="1364">
        <v>5</v>
      </c>
      <c r="AU39" s="1364">
        <v>5</v>
      </c>
      <c r="AV39" s="1364">
        <v>5</v>
      </c>
      <c r="AW39" s="1364">
        <v>5</v>
      </c>
      <c r="AX39" s="1364">
        <v>5</v>
      </c>
      <c r="AY39" s="1364">
        <v>5</v>
      </c>
      <c r="AZ39" s="1364">
        <v>5</v>
      </c>
      <c r="BA39" s="1364">
        <v>5</v>
      </c>
      <c r="BB39" s="1364">
        <v>5</v>
      </c>
      <c r="BC39" s="1364">
        <v>5</v>
      </c>
      <c r="BD39" s="1364">
        <v>5</v>
      </c>
      <c r="BE39" s="1364">
        <v>5</v>
      </c>
      <c r="BF39" s="1364">
        <v>5</v>
      </c>
      <c r="BG39" s="1364">
        <v>5</v>
      </c>
      <c r="BH39" s="1364">
        <v>5</v>
      </c>
      <c r="BI39" s="1364">
        <v>5</v>
      </c>
      <c r="BJ39" s="1364">
        <v>5</v>
      </c>
      <c r="BK39" s="1364">
        <v>5</v>
      </c>
      <c r="BL39" s="1364">
        <v>5</v>
      </c>
      <c r="BM39" s="1364">
        <v>5</v>
      </c>
      <c r="BN39" s="1364">
        <v>5</v>
      </c>
      <c r="BO39" s="1364">
        <v>5</v>
      </c>
      <c r="BP39" s="1364">
        <v>5</v>
      </c>
      <c r="BQ39" s="1364">
        <v>5</v>
      </c>
      <c r="BR39" s="1364">
        <v>5</v>
      </c>
      <c r="BS39" s="1364">
        <v>5</v>
      </c>
      <c r="BT39" s="1364">
        <v>5</v>
      </c>
      <c r="BU39" s="1364">
        <v>5</v>
      </c>
      <c r="BV39" s="1364">
        <v>5</v>
      </c>
      <c r="BW39" s="1364">
        <v>5</v>
      </c>
      <c r="BX39" s="1364">
        <v>5</v>
      </c>
      <c r="BY39" s="1364">
        <v>5</v>
      </c>
      <c r="BZ39" s="1364">
        <v>5</v>
      </c>
      <c r="CA39" s="1364">
        <v>5</v>
      </c>
      <c r="CB39" s="1364">
        <v>5</v>
      </c>
      <c r="CC39" s="1364">
        <v>5</v>
      </c>
      <c r="CD39" s="1364">
        <v>5</v>
      </c>
      <c r="CE39" s="1364">
        <v>5</v>
      </c>
      <c r="CF39" s="1364">
        <v>5</v>
      </c>
      <c r="CG39" s="1364">
        <v>5</v>
      </c>
      <c r="CH39" s="1364">
        <v>5</v>
      </c>
      <c r="CI39" s="1364">
        <v>5</v>
      </c>
      <c r="CJ39" s="1364">
        <v>5</v>
      </c>
      <c r="CK39" s="1364">
        <v>5</v>
      </c>
      <c r="CL39" s="1364">
        <v>5</v>
      </c>
      <c r="CM39" s="1364">
        <v>5</v>
      </c>
      <c r="CN39" s="1364">
        <v>5</v>
      </c>
    </row>
    <row r="40" spans="2:92" ht="56" x14ac:dyDescent="0.3">
      <c r="B40" s="1582" t="s">
        <v>2154</v>
      </c>
      <c r="C40" s="1481" t="s">
        <v>2122</v>
      </c>
      <c r="D40" s="1248" t="s">
        <v>2121</v>
      </c>
      <c r="E40" s="1249" t="s">
        <v>1274</v>
      </c>
      <c r="F40" s="1580" t="s">
        <v>1088</v>
      </c>
      <c r="G40" s="1248" t="s">
        <v>852</v>
      </c>
      <c r="H40" s="1248" t="s">
        <v>1466</v>
      </c>
      <c r="I40" s="1250" t="s">
        <v>85</v>
      </c>
      <c r="J40" s="1250" t="s">
        <v>305</v>
      </c>
      <c r="K40" s="1253">
        <v>2</v>
      </c>
      <c r="L40" s="362"/>
      <c r="M40" s="362"/>
      <c r="N40" s="362"/>
      <c r="O40" s="1361"/>
      <c r="P40" s="1362"/>
      <c r="Q40" s="1363"/>
      <c r="R40" s="1364">
        <v>0.08</v>
      </c>
      <c r="S40" s="1364">
        <v>0.16</v>
      </c>
      <c r="T40" s="1364">
        <v>0.24</v>
      </c>
      <c r="U40" s="1364">
        <v>0.32</v>
      </c>
      <c r="V40" s="1364">
        <v>0.4</v>
      </c>
      <c r="W40" s="363">
        <v>0.48000000000000004</v>
      </c>
      <c r="X40" s="363">
        <v>0.56000000000000005</v>
      </c>
      <c r="Y40" s="363">
        <v>0.64</v>
      </c>
      <c r="Z40" s="363">
        <v>0.72</v>
      </c>
      <c r="AA40" s="363">
        <v>0.8</v>
      </c>
      <c r="AB40" s="363">
        <v>0.8</v>
      </c>
      <c r="AC40" s="363">
        <v>0.8</v>
      </c>
      <c r="AD40" s="363">
        <v>0.8</v>
      </c>
      <c r="AE40" s="363">
        <v>0.8</v>
      </c>
      <c r="AF40" s="363">
        <v>0.8</v>
      </c>
      <c r="AG40" s="363">
        <v>0.8</v>
      </c>
      <c r="AH40" s="363">
        <v>0.8</v>
      </c>
      <c r="AI40" s="363">
        <v>0.8</v>
      </c>
      <c r="AJ40" s="363">
        <v>0.8</v>
      </c>
      <c r="AK40" s="363">
        <v>0.8</v>
      </c>
      <c r="AL40" s="363">
        <v>0.8</v>
      </c>
      <c r="AM40" s="363">
        <v>0.8</v>
      </c>
      <c r="AN40" s="363">
        <v>0.8</v>
      </c>
      <c r="AO40" s="363">
        <v>0.8</v>
      </c>
      <c r="AP40" s="363">
        <v>0.8</v>
      </c>
      <c r="AQ40" s="363">
        <v>0.8</v>
      </c>
      <c r="AR40" s="363">
        <v>0.8</v>
      </c>
      <c r="AS40" s="363">
        <v>0.8</v>
      </c>
      <c r="AT40" s="363">
        <v>0.8</v>
      </c>
      <c r="AU40" s="363">
        <v>0.8</v>
      </c>
      <c r="AV40" s="363">
        <v>0.8</v>
      </c>
      <c r="AW40" s="363">
        <v>0.8</v>
      </c>
      <c r="AX40" s="363">
        <v>0.8</v>
      </c>
      <c r="AY40" s="363">
        <v>0.8</v>
      </c>
      <c r="AZ40" s="363">
        <v>0.8</v>
      </c>
      <c r="BA40" s="363">
        <v>0.8</v>
      </c>
      <c r="BB40" s="363">
        <v>0.8</v>
      </c>
      <c r="BC40" s="363">
        <v>0.8</v>
      </c>
      <c r="BD40" s="363">
        <v>0.8</v>
      </c>
      <c r="BE40" s="363">
        <v>0.8</v>
      </c>
      <c r="BF40" s="363">
        <v>0.8</v>
      </c>
      <c r="BG40" s="363">
        <v>0.8</v>
      </c>
      <c r="BH40" s="363">
        <v>0.8</v>
      </c>
      <c r="BI40" s="363">
        <v>0.8</v>
      </c>
      <c r="BJ40" s="363">
        <v>0.8</v>
      </c>
      <c r="BK40" s="363">
        <v>0.8</v>
      </c>
      <c r="BL40" s="363">
        <v>0.8</v>
      </c>
      <c r="BM40" s="363">
        <v>0.8</v>
      </c>
      <c r="BN40" s="363">
        <v>0.8</v>
      </c>
      <c r="BO40" s="363">
        <v>0.8</v>
      </c>
      <c r="BP40" s="363">
        <v>0.8</v>
      </c>
      <c r="BQ40" s="363">
        <v>0.8</v>
      </c>
      <c r="BR40" s="363">
        <v>0.8</v>
      </c>
      <c r="BS40" s="363">
        <v>0.8</v>
      </c>
      <c r="BT40" s="363">
        <v>0.8</v>
      </c>
      <c r="BU40" s="363">
        <v>0.8</v>
      </c>
      <c r="BV40" s="363">
        <v>0.8</v>
      </c>
      <c r="BW40" s="363">
        <v>0.8</v>
      </c>
      <c r="BX40" s="363">
        <v>0.8</v>
      </c>
      <c r="BY40" s="363">
        <v>0.8</v>
      </c>
      <c r="BZ40" s="363">
        <v>0.8</v>
      </c>
      <c r="CA40" s="363">
        <v>0.8</v>
      </c>
      <c r="CB40" s="363">
        <v>0.8</v>
      </c>
      <c r="CC40" s="363">
        <v>0.8</v>
      </c>
      <c r="CD40" s="363">
        <v>0.8</v>
      </c>
      <c r="CE40" s="363">
        <v>0.8</v>
      </c>
      <c r="CF40" s="363">
        <v>0.8</v>
      </c>
      <c r="CG40" s="363">
        <v>0.8</v>
      </c>
      <c r="CH40" s="363">
        <v>0.8</v>
      </c>
      <c r="CI40" s="363">
        <v>0.8</v>
      </c>
      <c r="CJ40" s="363">
        <v>0.8</v>
      </c>
      <c r="CK40" s="363">
        <v>0.8</v>
      </c>
      <c r="CL40" s="363">
        <v>0.8</v>
      </c>
      <c r="CM40" s="363">
        <v>0.8</v>
      </c>
      <c r="CN40" s="363">
        <v>0.8</v>
      </c>
    </row>
    <row r="41" spans="2:92" ht="42" x14ac:dyDescent="0.35">
      <c r="B41" s="1252" t="s">
        <v>2154</v>
      </c>
      <c r="C41" s="1248" t="s">
        <v>2129</v>
      </c>
      <c r="D41" s="1248" t="s">
        <v>2152</v>
      </c>
      <c r="E41" s="1249" t="s">
        <v>1250</v>
      </c>
      <c r="F41" s="1247" t="s">
        <v>1088</v>
      </c>
      <c r="G41" s="1248" t="s">
        <v>852</v>
      </c>
      <c r="H41" s="1248" t="s">
        <v>1466</v>
      </c>
      <c r="I41" s="1250" t="s">
        <v>85</v>
      </c>
      <c r="J41" s="1250" t="s">
        <v>305</v>
      </c>
      <c r="K41" s="1253">
        <v>2</v>
      </c>
      <c r="L41" s="1251"/>
      <c r="M41" s="1581"/>
      <c r="N41" s="1581"/>
      <c r="O41" s="1581"/>
      <c r="P41" s="1581"/>
      <c r="Q41" s="1363"/>
      <c r="R41" s="1364">
        <v>0.39</v>
      </c>
      <c r="S41" s="1364">
        <v>0.78</v>
      </c>
      <c r="T41" s="1364">
        <v>1.17</v>
      </c>
      <c r="U41" s="1364">
        <v>1.56</v>
      </c>
      <c r="V41" s="1364">
        <v>1.9500000000000002</v>
      </c>
      <c r="W41" s="363">
        <v>2.2080000000000002</v>
      </c>
      <c r="X41" s="363">
        <v>2.4660000000000002</v>
      </c>
      <c r="Y41" s="363">
        <v>2.7240000000000002</v>
      </c>
      <c r="Z41" s="363">
        <v>2.9820000000000002</v>
      </c>
      <c r="AA41" s="363">
        <v>3.24</v>
      </c>
      <c r="AB41" s="363">
        <v>3.24</v>
      </c>
      <c r="AC41" s="363">
        <v>3.24</v>
      </c>
      <c r="AD41" s="363">
        <v>3.24</v>
      </c>
      <c r="AE41" s="363">
        <v>3.24</v>
      </c>
      <c r="AF41" s="363">
        <v>3.24</v>
      </c>
      <c r="AG41" s="363">
        <v>3.24</v>
      </c>
      <c r="AH41" s="363">
        <v>3.24</v>
      </c>
      <c r="AI41" s="363">
        <v>3.24</v>
      </c>
      <c r="AJ41" s="363">
        <v>3.24</v>
      </c>
      <c r="AK41" s="363">
        <v>3.24</v>
      </c>
      <c r="AL41" s="363">
        <v>3.24</v>
      </c>
      <c r="AM41" s="363">
        <v>3.24</v>
      </c>
      <c r="AN41" s="363">
        <v>3.24</v>
      </c>
      <c r="AO41" s="363">
        <v>3.24</v>
      </c>
      <c r="AP41" s="363">
        <v>3.24</v>
      </c>
      <c r="AQ41" s="363">
        <v>3.24</v>
      </c>
      <c r="AR41" s="363">
        <v>3.24</v>
      </c>
      <c r="AS41" s="363">
        <v>3.24</v>
      </c>
      <c r="AT41" s="363">
        <v>3.24</v>
      </c>
      <c r="AU41" s="363">
        <v>3.24</v>
      </c>
      <c r="AV41" s="363">
        <v>3.24</v>
      </c>
      <c r="AW41" s="363">
        <v>3.24</v>
      </c>
      <c r="AX41" s="363">
        <v>3.24</v>
      </c>
      <c r="AY41" s="363">
        <v>3.24</v>
      </c>
      <c r="AZ41" s="363">
        <v>3.24</v>
      </c>
      <c r="BA41" s="363">
        <v>3.24</v>
      </c>
      <c r="BB41" s="363">
        <v>3.24</v>
      </c>
      <c r="BC41" s="363">
        <v>3.24</v>
      </c>
      <c r="BD41" s="363">
        <v>3.24</v>
      </c>
      <c r="BE41" s="363">
        <v>3.24</v>
      </c>
      <c r="BF41" s="363">
        <v>3.24</v>
      </c>
      <c r="BG41" s="363">
        <v>3.24</v>
      </c>
      <c r="BH41" s="363">
        <v>3.24</v>
      </c>
      <c r="BI41" s="363">
        <v>3.24</v>
      </c>
      <c r="BJ41" s="363">
        <v>3.24</v>
      </c>
      <c r="BK41" s="363">
        <v>3.24</v>
      </c>
      <c r="BL41" s="363">
        <v>3.24</v>
      </c>
      <c r="BM41" s="363">
        <v>3.24</v>
      </c>
      <c r="BN41" s="363">
        <v>3.24</v>
      </c>
      <c r="BO41" s="363">
        <v>3.24</v>
      </c>
      <c r="BP41" s="363">
        <v>3.24</v>
      </c>
      <c r="BQ41" s="363">
        <v>3.24</v>
      </c>
      <c r="BR41" s="363">
        <v>3.24</v>
      </c>
      <c r="BS41" s="363">
        <v>3.24</v>
      </c>
      <c r="BT41" s="363">
        <v>3.24</v>
      </c>
      <c r="BU41" s="363">
        <v>3.24</v>
      </c>
      <c r="BV41" s="363">
        <v>3.24</v>
      </c>
      <c r="BW41" s="363">
        <v>3.24</v>
      </c>
      <c r="BX41" s="363">
        <v>3.24</v>
      </c>
      <c r="BY41" s="363">
        <v>3.24</v>
      </c>
      <c r="BZ41" s="363">
        <v>3.24</v>
      </c>
      <c r="CA41" s="363">
        <v>3.24</v>
      </c>
      <c r="CB41" s="363">
        <v>3.24</v>
      </c>
      <c r="CC41" s="363">
        <v>3.24</v>
      </c>
      <c r="CD41" s="363">
        <v>3.24</v>
      </c>
      <c r="CE41" s="363">
        <v>3.24</v>
      </c>
      <c r="CF41" s="363">
        <v>3.24</v>
      </c>
      <c r="CG41" s="363">
        <v>3.24</v>
      </c>
      <c r="CH41" s="363">
        <v>3.24</v>
      </c>
      <c r="CI41" s="363">
        <v>3.24</v>
      </c>
      <c r="CJ41" s="363">
        <v>3.24</v>
      </c>
      <c r="CK41" s="363">
        <v>3.24</v>
      </c>
      <c r="CL41" s="363">
        <v>3.24</v>
      </c>
      <c r="CM41" s="363">
        <v>3.24</v>
      </c>
      <c r="CN41" s="363">
        <v>3.24</v>
      </c>
    </row>
    <row r="42" spans="2:92" ht="42" x14ac:dyDescent="0.35">
      <c r="B42" s="1252" t="s">
        <v>2154</v>
      </c>
      <c r="C42" s="1248" t="s">
        <v>1252</v>
      </c>
      <c r="D42" s="1248" t="s">
        <v>1251</v>
      </c>
      <c r="E42" s="1249" t="s">
        <v>1250</v>
      </c>
      <c r="F42" s="1247" t="s">
        <v>1088</v>
      </c>
      <c r="G42" s="1248" t="s">
        <v>852</v>
      </c>
      <c r="H42" s="1248" t="s">
        <v>1466</v>
      </c>
      <c r="I42" s="1250" t="s">
        <v>85</v>
      </c>
      <c r="J42" s="1250" t="s">
        <v>305</v>
      </c>
      <c r="K42" s="1253">
        <v>2</v>
      </c>
      <c r="L42" s="1251"/>
      <c r="M42" s="1581"/>
      <c r="N42" s="1581"/>
      <c r="O42" s="1581"/>
      <c r="P42" s="1581"/>
      <c r="Q42" s="1363"/>
      <c r="R42" s="1364">
        <v>0.14199999999999999</v>
      </c>
      <c r="S42" s="1364">
        <v>0.28399999999999997</v>
      </c>
      <c r="T42" s="1364">
        <v>0.42599999999999993</v>
      </c>
      <c r="U42" s="1364">
        <v>0.56799999999999995</v>
      </c>
      <c r="V42" s="1364">
        <v>0.71</v>
      </c>
      <c r="W42" s="1364">
        <v>0.85199999999999998</v>
      </c>
      <c r="X42" s="1364">
        <v>0.99399999999999999</v>
      </c>
      <c r="Y42" s="1364">
        <v>1.1359999999999999</v>
      </c>
      <c r="Z42" s="1364">
        <v>1.278</v>
      </c>
      <c r="AA42" s="1364">
        <v>1.42</v>
      </c>
      <c r="AB42" s="363">
        <v>1.42</v>
      </c>
      <c r="AC42" s="363">
        <v>1.42</v>
      </c>
      <c r="AD42" s="363">
        <v>1.42</v>
      </c>
      <c r="AE42" s="363">
        <v>1.42</v>
      </c>
      <c r="AF42" s="363">
        <v>1.42</v>
      </c>
      <c r="AG42" s="363">
        <v>1.42</v>
      </c>
      <c r="AH42" s="363">
        <v>1.42</v>
      </c>
      <c r="AI42" s="363">
        <v>1.42</v>
      </c>
      <c r="AJ42" s="363">
        <v>1.42</v>
      </c>
      <c r="AK42" s="363">
        <v>1.42</v>
      </c>
      <c r="AL42" s="363">
        <v>1.42</v>
      </c>
      <c r="AM42" s="363">
        <v>1.42</v>
      </c>
      <c r="AN42" s="363">
        <v>1.42</v>
      </c>
      <c r="AO42" s="363">
        <v>1.42</v>
      </c>
      <c r="AP42" s="363">
        <v>1.42</v>
      </c>
      <c r="AQ42" s="363">
        <v>1.42</v>
      </c>
      <c r="AR42" s="363">
        <v>1.42</v>
      </c>
      <c r="AS42" s="363">
        <v>1.42</v>
      </c>
      <c r="AT42" s="363">
        <v>1.42</v>
      </c>
      <c r="AU42" s="363">
        <v>1.42</v>
      </c>
      <c r="AV42" s="363">
        <v>1.42</v>
      </c>
      <c r="AW42" s="363">
        <v>1.42</v>
      </c>
      <c r="AX42" s="363">
        <v>1.42</v>
      </c>
      <c r="AY42" s="363">
        <v>1.42</v>
      </c>
      <c r="AZ42" s="363">
        <v>1.42</v>
      </c>
      <c r="BA42" s="363">
        <v>1.42</v>
      </c>
      <c r="BB42" s="363">
        <v>1.42</v>
      </c>
      <c r="BC42" s="363">
        <v>1.42</v>
      </c>
      <c r="BD42" s="363">
        <v>1.42</v>
      </c>
      <c r="BE42" s="363">
        <v>1.42</v>
      </c>
      <c r="BF42" s="363">
        <v>1.42</v>
      </c>
      <c r="BG42" s="363">
        <v>1.42</v>
      </c>
      <c r="BH42" s="363">
        <v>1.42</v>
      </c>
      <c r="BI42" s="363">
        <v>1.42</v>
      </c>
      <c r="BJ42" s="363">
        <v>1.42</v>
      </c>
      <c r="BK42" s="363">
        <v>1.42</v>
      </c>
      <c r="BL42" s="363">
        <v>1.42</v>
      </c>
      <c r="BM42" s="363">
        <v>1.42</v>
      </c>
      <c r="BN42" s="363">
        <v>1.42</v>
      </c>
      <c r="BO42" s="363">
        <v>1.42</v>
      </c>
      <c r="BP42" s="363">
        <v>1.42</v>
      </c>
      <c r="BQ42" s="363">
        <v>1.42</v>
      </c>
      <c r="BR42" s="363">
        <v>1.42</v>
      </c>
      <c r="BS42" s="363">
        <v>1.42</v>
      </c>
      <c r="BT42" s="363">
        <v>1.42</v>
      </c>
      <c r="BU42" s="363">
        <v>1.42</v>
      </c>
      <c r="BV42" s="363">
        <v>1.42</v>
      </c>
      <c r="BW42" s="363">
        <v>1.42</v>
      </c>
      <c r="BX42" s="363">
        <v>1.42</v>
      </c>
      <c r="BY42" s="363">
        <v>1.42</v>
      </c>
      <c r="BZ42" s="363">
        <v>1.42</v>
      </c>
      <c r="CA42" s="363">
        <v>1.42</v>
      </c>
      <c r="CB42" s="363">
        <v>1.42</v>
      </c>
      <c r="CC42" s="363">
        <v>1.42</v>
      </c>
      <c r="CD42" s="363">
        <v>1.42</v>
      </c>
      <c r="CE42" s="363">
        <v>1.42</v>
      </c>
      <c r="CF42" s="363">
        <v>1.42</v>
      </c>
      <c r="CG42" s="363">
        <v>1.42</v>
      </c>
      <c r="CH42" s="363">
        <v>1.42</v>
      </c>
      <c r="CI42" s="363">
        <v>1.42</v>
      </c>
      <c r="CJ42" s="363">
        <v>1.42</v>
      </c>
      <c r="CK42" s="363">
        <v>1.42</v>
      </c>
      <c r="CL42" s="363">
        <v>1.42</v>
      </c>
      <c r="CM42" s="363">
        <v>1.42</v>
      </c>
      <c r="CN42" s="363">
        <v>1.42</v>
      </c>
    </row>
    <row r="43" spans="2:92" ht="28" x14ac:dyDescent="0.35">
      <c r="B43" s="1252" t="s">
        <v>1301</v>
      </c>
      <c r="C43" s="1248" t="s">
        <v>1254</v>
      </c>
      <c r="D43" s="1248" t="s">
        <v>1253</v>
      </c>
      <c r="E43" s="1249" t="s">
        <v>1255</v>
      </c>
      <c r="F43" s="1247" t="s">
        <v>1214</v>
      </c>
      <c r="G43" s="1248" t="s">
        <v>852</v>
      </c>
      <c r="H43" s="1248" t="s">
        <v>1466</v>
      </c>
      <c r="I43" s="1250" t="s">
        <v>85</v>
      </c>
      <c r="J43" s="1250" t="s">
        <v>305</v>
      </c>
      <c r="K43" s="1253">
        <v>2</v>
      </c>
      <c r="L43" s="1251"/>
      <c r="M43" s="1581"/>
      <c r="N43" s="1581"/>
      <c r="O43" s="1581"/>
      <c r="P43" s="1581"/>
      <c r="Q43" s="1363"/>
      <c r="R43" s="1364">
        <v>0.06</v>
      </c>
      <c r="S43" s="1364">
        <v>0.12</v>
      </c>
      <c r="T43" s="1364">
        <v>0.18</v>
      </c>
      <c r="U43" s="1364">
        <v>0.24</v>
      </c>
      <c r="V43" s="1364">
        <v>0.3</v>
      </c>
      <c r="W43" s="1364">
        <v>0.36</v>
      </c>
      <c r="X43" s="1364">
        <v>0.42</v>
      </c>
      <c r="Y43" s="1364">
        <v>0.48</v>
      </c>
      <c r="Z43" s="1364">
        <v>0.54</v>
      </c>
      <c r="AA43" s="1364">
        <v>0.6</v>
      </c>
      <c r="AB43" s="1364">
        <v>0.61199999999999999</v>
      </c>
      <c r="AC43" s="1364">
        <v>0.624</v>
      </c>
      <c r="AD43" s="1364">
        <v>0.63600000000000001</v>
      </c>
      <c r="AE43" s="1364">
        <v>0.64800000000000002</v>
      </c>
      <c r="AF43" s="1364">
        <v>0.65999999999999992</v>
      </c>
      <c r="AG43" s="1364">
        <v>0.65999999999999992</v>
      </c>
      <c r="AH43" s="1364">
        <v>0.65999999999999992</v>
      </c>
      <c r="AI43" s="1364">
        <v>0.65999999999999992</v>
      </c>
      <c r="AJ43" s="1364">
        <v>0.65999999999999992</v>
      </c>
      <c r="AK43" s="1364">
        <v>0.65999999999999992</v>
      </c>
      <c r="AL43" s="1364">
        <v>0.65999999999999992</v>
      </c>
      <c r="AM43" s="1364">
        <v>0.65999999999999992</v>
      </c>
      <c r="AN43" s="1364">
        <v>0.65999999999999992</v>
      </c>
      <c r="AO43" s="1364">
        <v>0.65999999999999992</v>
      </c>
      <c r="AP43" s="1364">
        <v>0.65999999999999992</v>
      </c>
      <c r="AQ43" s="1364">
        <v>0.65999999999999992</v>
      </c>
      <c r="AR43" s="1364">
        <v>0.65999999999999992</v>
      </c>
      <c r="AS43" s="1364">
        <v>0.65999999999999992</v>
      </c>
      <c r="AT43" s="1364">
        <v>0.65999999999999992</v>
      </c>
      <c r="AU43" s="1364">
        <v>0.65999999999999992</v>
      </c>
      <c r="AV43" s="1364">
        <v>0.65999999999999992</v>
      </c>
      <c r="AW43" s="1364">
        <v>0.65999999999999992</v>
      </c>
      <c r="AX43" s="1364">
        <v>0.65999999999999992</v>
      </c>
      <c r="AY43" s="1364">
        <v>0.65999999999999992</v>
      </c>
      <c r="AZ43" s="1364">
        <v>0.65999999999999992</v>
      </c>
      <c r="BA43" s="1364">
        <v>0.65999999999999992</v>
      </c>
      <c r="BB43" s="1364">
        <v>0.65999999999999992</v>
      </c>
      <c r="BC43" s="1364">
        <v>0.65999999999999992</v>
      </c>
      <c r="BD43" s="1364">
        <v>0.65999999999999992</v>
      </c>
      <c r="BE43" s="1364">
        <v>0.65999999999999992</v>
      </c>
      <c r="BF43" s="1364">
        <v>0.65999999999999992</v>
      </c>
      <c r="BG43" s="1364">
        <v>0.65999999999999992</v>
      </c>
      <c r="BH43" s="1364">
        <v>0.65999999999999992</v>
      </c>
      <c r="BI43" s="1364">
        <v>0.65999999999999992</v>
      </c>
      <c r="BJ43" s="1364">
        <v>0.65999999999999992</v>
      </c>
      <c r="BK43" s="1364">
        <v>0.65999999999999992</v>
      </c>
      <c r="BL43" s="1364">
        <v>0.65999999999999992</v>
      </c>
      <c r="BM43" s="1364">
        <v>0.65999999999999992</v>
      </c>
      <c r="BN43" s="1364">
        <v>0.65999999999999992</v>
      </c>
      <c r="BO43" s="1364">
        <v>0.65999999999999992</v>
      </c>
      <c r="BP43" s="1364">
        <v>0.65999999999999992</v>
      </c>
      <c r="BQ43" s="1364">
        <v>0.65999999999999992</v>
      </c>
      <c r="BR43" s="1364">
        <v>0.65999999999999992</v>
      </c>
      <c r="BS43" s="1364">
        <v>0.65999999999999992</v>
      </c>
      <c r="BT43" s="1364">
        <v>0.65999999999999992</v>
      </c>
      <c r="BU43" s="1364">
        <v>0.65999999999999992</v>
      </c>
      <c r="BV43" s="1364">
        <v>0.65999999999999992</v>
      </c>
      <c r="BW43" s="1364">
        <v>0.65999999999999992</v>
      </c>
      <c r="BX43" s="1364">
        <v>0.65999999999999992</v>
      </c>
      <c r="BY43" s="1364">
        <v>0.65999999999999992</v>
      </c>
      <c r="BZ43" s="1364">
        <v>0.65999999999999992</v>
      </c>
      <c r="CA43" s="1364">
        <v>0.65999999999999992</v>
      </c>
      <c r="CB43" s="1364">
        <v>0.65999999999999992</v>
      </c>
      <c r="CC43" s="1364">
        <v>0.65999999999999992</v>
      </c>
      <c r="CD43" s="1364">
        <v>0.65999999999999992</v>
      </c>
      <c r="CE43" s="1364">
        <v>0.65999999999999992</v>
      </c>
      <c r="CF43" s="1364">
        <v>0.65999999999999992</v>
      </c>
      <c r="CG43" s="1364">
        <v>0.65999999999999992</v>
      </c>
      <c r="CH43" s="1364">
        <v>0.65999999999999992</v>
      </c>
      <c r="CI43" s="1364">
        <v>0.65999999999999992</v>
      </c>
      <c r="CJ43" s="1364">
        <v>0.65999999999999992</v>
      </c>
      <c r="CK43" s="1364">
        <v>0.65999999999999992</v>
      </c>
      <c r="CL43" s="1364">
        <v>0.65999999999999992</v>
      </c>
      <c r="CM43" s="1364">
        <v>0.65999999999999992</v>
      </c>
      <c r="CN43" s="1364">
        <v>0.65999999999999992</v>
      </c>
    </row>
    <row r="44" spans="2:92" ht="28" x14ac:dyDescent="0.35">
      <c r="B44" s="1252" t="s">
        <v>1301</v>
      </c>
      <c r="C44" s="1248" t="s">
        <v>1257</v>
      </c>
      <c r="D44" s="1248" t="s">
        <v>1256</v>
      </c>
      <c r="E44" s="1249" t="s">
        <v>1255</v>
      </c>
      <c r="F44" s="1247" t="s">
        <v>1214</v>
      </c>
      <c r="G44" s="1248" t="s">
        <v>852</v>
      </c>
      <c r="H44" s="1248" t="s">
        <v>1466</v>
      </c>
      <c r="I44" s="1250" t="s">
        <v>85</v>
      </c>
      <c r="J44" s="1250" t="s">
        <v>305</v>
      </c>
      <c r="K44" s="1253">
        <v>2</v>
      </c>
      <c r="L44" s="1251"/>
      <c r="M44" s="1581"/>
      <c r="N44" s="1581"/>
      <c r="O44" s="1581"/>
      <c r="P44" s="1581"/>
      <c r="Q44" s="1363"/>
      <c r="R44" s="1364">
        <v>0.06</v>
      </c>
      <c r="S44" s="1364">
        <v>0.12</v>
      </c>
      <c r="T44" s="1364">
        <v>0.18</v>
      </c>
      <c r="U44" s="1364">
        <v>0.24</v>
      </c>
      <c r="V44" s="1364">
        <v>0.3</v>
      </c>
      <c r="W44" s="1364">
        <v>0.312</v>
      </c>
      <c r="X44" s="1364">
        <v>0.32400000000000001</v>
      </c>
      <c r="Y44" s="1364">
        <v>0.33599999999999997</v>
      </c>
      <c r="Z44" s="1364">
        <v>0.34799999999999998</v>
      </c>
      <c r="AA44" s="1364">
        <v>0.36</v>
      </c>
      <c r="AB44" s="1364">
        <v>0.42</v>
      </c>
      <c r="AC44" s="1364">
        <v>0.48</v>
      </c>
      <c r="AD44" s="1364">
        <v>0.54</v>
      </c>
      <c r="AE44" s="1364">
        <v>0.6</v>
      </c>
      <c r="AF44" s="1364">
        <v>0.65999999999999992</v>
      </c>
      <c r="AG44" s="1364">
        <v>0.65999999999999992</v>
      </c>
      <c r="AH44" s="1364">
        <v>0.65999999999999992</v>
      </c>
      <c r="AI44" s="1364">
        <v>0.65999999999999992</v>
      </c>
      <c r="AJ44" s="1364">
        <v>0.65999999999999992</v>
      </c>
      <c r="AK44" s="1364">
        <v>0.65999999999999992</v>
      </c>
      <c r="AL44" s="1364">
        <v>0.65999999999999992</v>
      </c>
      <c r="AM44" s="1364">
        <v>0.65999999999999992</v>
      </c>
      <c r="AN44" s="1364">
        <v>0.65999999999999992</v>
      </c>
      <c r="AO44" s="1364">
        <v>0.65999999999999992</v>
      </c>
      <c r="AP44" s="1364">
        <v>0.65999999999999992</v>
      </c>
      <c r="AQ44" s="1364">
        <v>0.65999999999999992</v>
      </c>
      <c r="AR44" s="1364">
        <v>0.65999999999999992</v>
      </c>
      <c r="AS44" s="1364">
        <v>0.65999999999999992</v>
      </c>
      <c r="AT44" s="1364">
        <v>0.65999999999999992</v>
      </c>
      <c r="AU44" s="1364">
        <v>0.65999999999999992</v>
      </c>
      <c r="AV44" s="1364">
        <v>0.65999999999999992</v>
      </c>
      <c r="AW44" s="1364">
        <v>0.65999999999999992</v>
      </c>
      <c r="AX44" s="1364">
        <v>0.65999999999999992</v>
      </c>
      <c r="AY44" s="1364">
        <v>0.65999999999999992</v>
      </c>
      <c r="AZ44" s="1364">
        <v>0.65999999999999992</v>
      </c>
      <c r="BA44" s="1364">
        <v>0.65999999999999992</v>
      </c>
      <c r="BB44" s="1364">
        <v>0.65999999999999992</v>
      </c>
      <c r="BC44" s="1364">
        <v>0.65999999999999992</v>
      </c>
      <c r="BD44" s="1364">
        <v>0.65999999999999992</v>
      </c>
      <c r="BE44" s="1364">
        <v>0.65999999999999992</v>
      </c>
      <c r="BF44" s="1364">
        <v>0.65999999999999992</v>
      </c>
      <c r="BG44" s="1364">
        <v>0.65999999999999992</v>
      </c>
      <c r="BH44" s="1364">
        <v>0.65999999999999992</v>
      </c>
      <c r="BI44" s="1364">
        <v>0.65999999999999992</v>
      </c>
      <c r="BJ44" s="1364">
        <v>0.65999999999999992</v>
      </c>
      <c r="BK44" s="1364">
        <v>0.65999999999999992</v>
      </c>
      <c r="BL44" s="1364">
        <v>0.65999999999999992</v>
      </c>
      <c r="BM44" s="1364">
        <v>0.65999999999999992</v>
      </c>
      <c r="BN44" s="1364">
        <v>0.65999999999999992</v>
      </c>
      <c r="BO44" s="1364">
        <v>0.65999999999999992</v>
      </c>
      <c r="BP44" s="1364">
        <v>0.65999999999999992</v>
      </c>
      <c r="BQ44" s="1364">
        <v>0.65999999999999992</v>
      </c>
      <c r="BR44" s="1364">
        <v>0.65999999999999992</v>
      </c>
      <c r="BS44" s="1364">
        <v>0.65999999999999992</v>
      </c>
      <c r="BT44" s="1364">
        <v>0.65999999999999992</v>
      </c>
      <c r="BU44" s="1364">
        <v>0.65999999999999992</v>
      </c>
      <c r="BV44" s="1364">
        <v>0.65999999999999992</v>
      </c>
      <c r="BW44" s="1364">
        <v>0.65999999999999992</v>
      </c>
      <c r="BX44" s="1364">
        <v>0.65999999999999992</v>
      </c>
      <c r="BY44" s="1364">
        <v>0.65999999999999992</v>
      </c>
      <c r="BZ44" s="1364">
        <v>0.65999999999999992</v>
      </c>
      <c r="CA44" s="1364">
        <v>0.65999999999999992</v>
      </c>
      <c r="CB44" s="1364">
        <v>0.65999999999999992</v>
      </c>
      <c r="CC44" s="1364">
        <v>0.65999999999999992</v>
      </c>
      <c r="CD44" s="1364">
        <v>0.65999999999999992</v>
      </c>
      <c r="CE44" s="1364">
        <v>0.65999999999999992</v>
      </c>
      <c r="CF44" s="1364">
        <v>0.65999999999999992</v>
      </c>
      <c r="CG44" s="1364">
        <v>0.65999999999999992</v>
      </c>
      <c r="CH44" s="1364">
        <v>0.65999999999999992</v>
      </c>
      <c r="CI44" s="1364">
        <v>0.65999999999999992</v>
      </c>
      <c r="CJ44" s="1364">
        <v>0.65999999999999992</v>
      </c>
      <c r="CK44" s="1364">
        <v>0.65999999999999992</v>
      </c>
      <c r="CL44" s="1364">
        <v>0.65999999999999992</v>
      </c>
      <c r="CM44" s="1364">
        <v>0.65999999999999992</v>
      </c>
      <c r="CN44" s="1364">
        <v>0.65999999999999992</v>
      </c>
    </row>
    <row r="45" spans="2:92" ht="42" x14ac:dyDescent="0.35">
      <c r="B45" s="1252" t="s">
        <v>2154</v>
      </c>
      <c r="C45" s="1248" t="s">
        <v>2191</v>
      </c>
      <c r="D45" s="1248" t="s">
        <v>1258</v>
      </c>
      <c r="E45" s="1249" t="s">
        <v>1260</v>
      </c>
      <c r="F45" s="1247" t="s">
        <v>1088</v>
      </c>
      <c r="G45" s="1248" t="s">
        <v>852</v>
      </c>
      <c r="H45" s="1248" t="s">
        <v>1466</v>
      </c>
      <c r="I45" s="1250" t="s">
        <v>85</v>
      </c>
      <c r="J45" s="1250" t="s">
        <v>305</v>
      </c>
      <c r="K45" s="1253">
        <v>2</v>
      </c>
      <c r="L45" s="1251"/>
      <c r="M45" s="1581"/>
      <c r="N45" s="1581"/>
      <c r="O45" s="1581"/>
      <c r="P45" s="1581"/>
      <c r="Q45" s="1363"/>
      <c r="R45" s="1364">
        <v>4.2000000000000003E-2</v>
      </c>
      <c r="S45" s="1364">
        <v>8.4000000000000005E-2</v>
      </c>
      <c r="T45" s="1364">
        <v>0.126</v>
      </c>
      <c r="U45" s="1364">
        <v>0.16800000000000001</v>
      </c>
      <c r="V45" s="1364">
        <v>0.21000000000000002</v>
      </c>
      <c r="W45" s="363">
        <v>0.252</v>
      </c>
      <c r="X45" s="363">
        <v>0.29399999999999998</v>
      </c>
      <c r="Y45" s="363">
        <v>0.33599999999999997</v>
      </c>
      <c r="Z45" s="363">
        <v>0.378</v>
      </c>
      <c r="AA45" s="363">
        <v>0.42000000000000004</v>
      </c>
      <c r="AB45" s="363">
        <v>0.42000000000000004</v>
      </c>
      <c r="AC45" s="363">
        <v>0.42000000000000004</v>
      </c>
      <c r="AD45" s="363">
        <v>0.42000000000000004</v>
      </c>
      <c r="AE45" s="363">
        <v>0.42000000000000004</v>
      </c>
      <c r="AF45" s="363">
        <v>0.42000000000000004</v>
      </c>
      <c r="AG45" s="363">
        <v>0.42000000000000004</v>
      </c>
      <c r="AH45" s="363">
        <v>0.42000000000000004</v>
      </c>
      <c r="AI45" s="363">
        <v>0.42000000000000004</v>
      </c>
      <c r="AJ45" s="363">
        <v>0.42000000000000004</v>
      </c>
      <c r="AK45" s="363">
        <v>0.42000000000000004</v>
      </c>
      <c r="AL45" s="363">
        <v>0.42000000000000004</v>
      </c>
      <c r="AM45" s="363">
        <v>0.42000000000000004</v>
      </c>
      <c r="AN45" s="363">
        <v>0.42000000000000004</v>
      </c>
      <c r="AO45" s="363">
        <v>0.42000000000000004</v>
      </c>
      <c r="AP45" s="363">
        <v>0.42000000000000004</v>
      </c>
      <c r="AQ45" s="363">
        <v>0.42000000000000004</v>
      </c>
      <c r="AR45" s="363">
        <v>0.42000000000000004</v>
      </c>
      <c r="AS45" s="363">
        <v>0.42000000000000004</v>
      </c>
      <c r="AT45" s="363">
        <v>0.42000000000000004</v>
      </c>
      <c r="AU45" s="363">
        <v>0.42000000000000004</v>
      </c>
      <c r="AV45" s="363">
        <v>0.42000000000000004</v>
      </c>
      <c r="AW45" s="363">
        <v>0.42000000000000004</v>
      </c>
      <c r="AX45" s="363">
        <v>0.42000000000000004</v>
      </c>
      <c r="AY45" s="363">
        <v>0.42000000000000004</v>
      </c>
      <c r="AZ45" s="363">
        <v>0.42000000000000004</v>
      </c>
      <c r="BA45" s="363">
        <v>0.42000000000000004</v>
      </c>
      <c r="BB45" s="363">
        <v>0.42000000000000004</v>
      </c>
      <c r="BC45" s="363">
        <v>0.42000000000000004</v>
      </c>
      <c r="BD45" s="363">
        <v>0.42000000000000004</v>
      </c>
      <c r="BE45" s="363">
        <v>0.42000000000000004</v>
      </c>
      <c r="BF45" s="363">
        <v>0.42000000000000004</v>
      </c>
      <c r="BG45" s="363">
        <v>0.42000000000000004</v>
      </c>
      <c r="BH45" s="363">
        <v>0.42000000000000004</v>
      </c>
      <c r="BI45" s="363">
        <v>0.42000000000000004</v>
      </c>
      <c r="BJ45" s="363">
        <v>0.42000000000000004</v>
      </c>
      <c r="BK45" s="363">
        <v>0.42000000000000004</v>
      </c>
      <c r="BL45" s="363">
        <v>0.42000000000000004</v>
      </c>
      <c r="BM45" s="363">
        <v>0.42000000000000004</v>
      </c>
      <c r="BN45" s="363">
        <v>0.42000000000000004</v>
      </c>
      <c r="BO45" s="363">
        <v>0.42000000000000004</v>
      </c>
      <c r="BP45" s="363">
        <v>0.42000000000000004</v>
      </c>
      <c r="BQ45" s="363">
        <v>0.42000000000000004</v>
      </c>
      <c r="BR45" s="363">
        <v>0.42000000000000004</v>
      </c>
      <c r="BS45" s="363">
        <v>0.42000000000000004</v>
      </c>
      <c r="BT45" s="363">
        <v>0.42000000000000004</v>
      </c>
      <c r="BU45" s="363">
        <v>0.42000000000000004</v>
      </c>
      <c r="BV45" s="363">
        <v>0.42000000000000004</v>
      </c>
      <c r="BW45" s="363">
        <v>0.42000000000000004</v>
      </c>
      <c r="BX45" s="363">
        <v>0.42000000000000004</v>
      </c>
      <c r="BY45" s="363">
        <v>0.42000000000000004</v>
      </c>
      <c r="BZ45" s="363">
        <v>0.42000000000000004</v>
      </c>
      <c r="CA45" s="363">
        <v>0.42000000000000004</v>
      </c>
      <c r="CB45" s="363">
        <v>0.42000000000000004</v>
      </c>
      <c r="CC45" s="363">
        <v>0.42000000000000004</v>
      </c>
      <c r="CD45" s="363">
        <v>0.42000000000000004</v>
      </c>
      <c r="CE45" s="363">
        <v>0.42000000000000004</v>
      </c>
      <c r="CF45" s="363">
        <v>0.42000000000000004</v>
      </c>
      <c r="CG45" s="363">
        <v>0.42000000000000004</v>
      </c>
      <c r="CH45" s="363">
        <v>0.42000000000000004</v>
      </c>
      <c r="CI45" s="363">
        <v>0.42000000000000004</v>
      </c>
      <c r="CJ45" s="363">
        <v>0.42000000000000004</v>
      </c>
      <c r="CK45" s="363">
        <v>0.42000000000000004</v>
      </c>
      <c r="CL45" s="363">
        <v>0.42000000000000004</v>
      </c>
      <c r="CM45" s="363">
        <v>0.42000000000000004</v>
      </c>
      <c r="CN45" s="363">
        <v>0.42000000000000004</v>
      </c>
    </row>
    <row r="46" spans="2:92" ht="28" x14ac:dyDescent="0.35">
      <c r="B46" s="1252" t="s">
        <v>1301</v>
      </c>
      <c r="C46" s="1248" t="s">
        <v>1262</v>
      </c>
      <c r="D46" s="1248" t="s">
        <v>1261</v>
      </c>
      <c r="E46" s="1249" t="s">
        <v>1263</v>
      </c>
      <c r="F46" s="1247" t="s">
        <v>1214</v>
      </c>
      <c r="G46" s="1248" t="s">
        <v>852</v>
      </c>
      <c r="H46" s="1248" t="s">
        <v>1466</v>
      </c>
      <c r="I46" s="1250" t="s">
        <v>85</v>
      </c>
      <c r="J46" s="1250" t="s">
        <v>305</v>
      </c>
      <c r="K46" s="1253">
        <v>2</v>
      </c>
      <c r="L46" s="1251"/>
      <c r="M46" s="1581"/>
      <c r="N46" s="1581"/>
      <c r="O46" s="1581"/>
      <c r="P46" s="1581"/>
      <c r="Q46" s="1363"/>
      <c r="R46" s="1364">
        <v>0</v>
      </c>
      <c r="S46" s="363">
        <v>0</v>
      </c>
      <c r="T46" s="363">
        <v>0</v>
      </c>
      <c r="U46" s="363">
        <v>0</v>
      </c>
      <c r="V46" s="363">
        <v>0</v>
      </c>
      <c r="W46" s="363">
        <v>0</v>
      </c>
      <c r="X46" s="363">
        <v>0</v>
      </c>
      <c r="Y46" s="363">
        <v>0</v>
      </c>
      <c r="Z46" s="363">
        <v>0</v>
      </c>
      <c r="AA46" s="363">
        <v>0</v>
      </c>
      <c r="AB46" s="363">
        <v>0.53</v>
      </c>
      <c r="AC46" s="363">
        <v>1.06</v>
      </c>
      <c r="AD46" s="363">
        <v>1.59</v>
      </c>
      <c r="AE46" s="363">
        <v>2.12</v>
      </c>
      <c r="AF46" s="363">
        <v>2.6500000000000004</v>
      </c>
      <c r="AG46" s="363">
        <v>2.8200000000000003</v>
      </c>
      <c r="AH46" s="363">
        <v>2.99</v>
      </c>
      <c r="AI46" s="363">
        <v>3.16</v>
      </c>
      <c r="AJ46" s="363">
        <v>3.3300000000000005</v>
      </c>
      <c r="AK46" s="363">
        <v>3.5000000000000004</v>
      </c>
      <c r="AL46" s="363">
        <v>3.5000000000000004</v>
      </c>
      <c r="AM46" s="363">
        <v>3.5000000000000004</v>
      </c>
      <c r="AN46" s="363">
        <v>3.5000000000000004</v>
      </c>
      <c r="AO46" s="363">
        <v>3.5000000000000004</v>
      </c>
      <c r="AP46" s="363">
        <v>3.5000000000000004</v>
      </c>
      <c r="AQ46" s="363">
        <v>3.5000000000000004</v>
      </c>
      <c r="AR46" s="363">
        <v>3.5000000000000004</v>
      </c>
      <c r="AS46" s="363">
        <v>3.5000000000000004</v>
      </c>
      <c r="AT46" s="363">
        <v>3.5000000000000004</v>
      </c>
      <c r="AU46" s="363">
        <v>3.5000000000000004</v>
      </c>
      <c r="AV46" s="363">
        <v>3.5000000000000004</v>
      </c>
      <c r="AW46" s="363">
        <v>3.5000000000000004</v>
      </c>
      <c r="AX46" s="363">
        <v>3.5000000000000004</v>
      </c>
      <c r="AY46" s="363">
        <v>3.5000000000000004</v>
      </c>
      <c r="AZ46" s="363">
        <v>3.5000000000000004</v>
      </c>
      <c r="BA46" s="363">
        <v>3.5000000000000004</v>
      </c>
      <c r="BB46" s="363">
        <v>3.5000000000000004</v>
      </c>
      <c r="BC46" s="363">
        <v>3.5000000000000004</v>
      </c>
      <c r="BD46" s="363">
        <v>3.5000000000000004</v>
      </c>
      <c r="BE46" s="363">
        <v>3.5000000000000004</v>
      </c>
      <c r="BF46" s="363">
        <v>3.5000000000000004</v>
      </c>
      <c r="BG46" s="363">
        <v>3.5000000000000004</v>
      </c>
      <c r="BH46" s="363">
        <v>3.5000000000000004</v>
      </c>
      <c r="BI46" s="363">
        <v>3.5000000000000004</v>
      </c>
      <c r="BJ46" s="363">
        <v>3.5000000000000004</v>
      </c>
      <c r="BK46" s="363">
        <v>3.5000000000000004</v>
      </c>
      <c r="BL46" s="363">
        <v>3.5000000000000004</v>
      </c>
      <c r="BM46" s="363">
        <v>3.5000000000000004</v>
      </c>
      <c r="BN46" s="363">
        <v>3.5000000000000004</v>
      </c>
      <c r="BO46" s="363">
        <v>3.5000000000000004</v>
      </c>
      <c r="BP46" s="363">
        <v>3.5000000000000004</v>
      </c>
      <c r="BQ46" s="363">
        <v>3.5000000000000004</v>
      </c>
      <c r="BR46" s="363">
        <v>3.5000000000000004</v>
      </c>
      <c r="BS46" s="363">
        <v>3.5000000000000004</v>
      </c>
      <c r="BT46" s="363">
        <v>3.5000000000000004</v>
      </c>
      <c r="BU46" s="363">
        <v>3.5000000000000004</v>
      </c>
      <c r="BV46" s="363">
        <v>3.5000000000000004</v>
      </c>
      <c r="BW46" s="363">
        <v>3.5000000000000004</v>
      </c>
      <c r="BX46" s="363">
        <v>3.5000000000000004</v>
      </c>
      <c r="BY46" s="363">
        <v>3.5000000000000004</v>
      </c>
      <c r="BZ46" s="363">
        <v>3.5000000000000004</v>
      </c>
      <c r="CA46" s="363">
        <v>3.5000000000000004</v>
      </c>
      <c r="CB46" s="363">
        <v>3.5000000000000004</v>
      </c>
      <c r="CC46" s="363">
        <v>3.5000000000000004</v>
      </c>
      <c r="CD46" s="363">
        <v>3.5000000000000004</v>
      </c>
      <c r="CE46" s="363">
        <v>3.5000000000000004</v>
      </c>
      <c r="CF46" s="363">
        <v>3.5000000000000004</v>
      </c>
      <c r="CG46" s="363">
        <v>3.5000000000000004</v>
      </c>
      <c r="CH46" s="363">
        <v>3.5000000000000004</v>
      </c>
      <c r="CI46" s="363">
        <v>3.5000000000000004</v>
      </c>
      <c r="CJ46" s="363">
        <v>3.5000000000000004</v>
      </c>
      <c r="CK46" s="363">
        <v>3.5000000000000004</v>
      </c>
      <c r="CL46" s="363">
        <v>3.5000000000000004</v>
      </c>
      <c r="CM46" s="363">
        <v>3.5000000000000004</v>
      </c>
      <c r="CN46" s="363">
        <v>3.5000000000000004</v>
      </c>
    </row>
    <row r="47" spans="2:92" ht="42" x14ac:dyDescent="0.35">
      <c r="B47" s="1252" t="s">
        <v>1301</v>
      </c>
      <c r="C47" s="1248" t="s">
        <v>1265</v>
      </c>
      <c r="D47" s="1248" t="s">
        <v>1264</v>
      </c>
      <c r="E47" s="1249" t="s">
        <v>1266</v>
      </c>
      <c r="F47" s="1247" t="s">
        <v>1214</v>
      </c>
      <c r="G47" s="1248" t="s">
        <v>852</v>
      </c>
      <c r="H47" s="1248" t="s">
        <v>1466</v>
      </c>
      <c r="I47" s="1250" t="s">
        <v>85</v>
      </c>
      <c r="J47" s="1250" t="s">
        <v>305</v>
      </c>
      <c r="K47" s="1253">
        <v>2</v>
      </c>
      <c r="L47" s="1251"/>
      <c r="M47" s="1581"/>
      <c r="N47" s="1581"/>
      <c r="O47" s="1581"/>
      <c r="P47" s="1581"/>
      <c r="Q47" s="1363"/>
      <c r="R47" s="1364">
        <v>0</v>
      </c>
      <c r="S47" s="363">
        <v>0</v>
      </c>
      <c r="T47" s="363">
        <v>0</v>
      </c>
      <c r="U47" s="363">
        <v>0</v>
      </c>
      <c r="V47" s="363">
        <v>0</v>
      </c>
      <c r="W47" s="1365">
        <v>0</v>
      </c>
      <c r="X47" s="1365">
        <v>0</v>
      </c>
      <c r="Y47" s="1365">
        <v>0</v>
      </c>
      <c r="Z47" s="1365">
        <v>0</v>
      </c>
      <c r="AA47" s="1365">
        <v>0</v>
      </c>
      <c r="AB47" s="1365">
        <v>0.06</v>
      </c>
      <c r="AC47" s="1365">
        <v>0.12</v>
      </c>
      <c r="AD47" s="1365">
        <v>0.18</v>
      </c>
      <c r="AE47" s="1365">
        <v>0.24</v>
      </c>
      <c r="AF47" s="1365">
        <v>0.3</v>
      </c>
      <c r="AG47" s="1365">
        <v>0.36</v>
      </c>
      <c r="AH47" s="1365">
        <v>0.42</v>
      </c>
      <c r="AI47" s="1365">
        <v>0.48</v>
      </c>
      <c r="AJ47" s="1365">
        <v>0.54</v>
      </c>
      <c r="AK47" s="1365">
        <v>0.6</v>
      </c>
      <c r="AL47" s="1365">
        <v>0.61199999999999999</v>
      </c>
      <c r="AM47" s="1365">
        <v>0.624</v>
      </c>
      <c r="AN47" s="1365">
        <v>0.63600000000000001</v>
      </c>
      <c r="AO47" s="1365">
        <v>0.64800000000000002</v>
      </c>
      <c r="AP47" s="1365">
        <v>0.65999999999999992</v>
      </c>
      <c r="AQ47" s="1365">
        <v>0.65999999999999992</v>
      </c>
      <c r="AR47" s="1365">
        <v>0.65999999999999992</v>
      </c>
      <c r="AS47" s="1365">
        <v>0.65999999999999992</v>
      </c>
      <c r="AT47" s="1365">
        <v>0.65999999999999992</v>
      </c>
      <c r="AU47" s="1365">
        <v>0.65999999999999992</v>
      </c>
      <c r="AV47" s="1365">
        <v>0.65999999999999992</v>
      </c>
      <c r="AW47" s="1365">
        <v>0.65999999999999992</v>
      </c>
      <c r="AX47" s="1365">
        <v>0.65999999999999992</v>
      </c>
      <c r="AY47" s="1365">
        <v>0.65999999999999992</v>
      </c>
      <c r="AZ47" s="1365">
        <v>0.65999999999999992</v>
      </c>
      <c r="BA47" s="1365">
        <v>0.65999999999999992</v>
      </c>
      <c r="BB47" s="1365">
        <v>0.65999999999999992</v>
      </c>
      <c r="BC47" s="1365">
        <v>0.65999999999999992</v>
      </c>
      <c r="BD47" s="1365">
        <v>0.65999999999999992</v>
      </c>
      <c r="BE47" s="1365">
        <v>0.65999999999999992</v>
      </c>
      <c r="BF47" s="1365">
        <v>0.65999999999999992</v>
      </c>
      <c r="BG47" s="1365">
        <v>0.65999999999999992</v>
      </c>
      <c r="BH47" s="1365">
        <v>0.65999999999999992</v>
      </c>
      <c r="BI47" s="1365">
        <v>0.65999999999999992</v>
      </c>
      <c r="BJ47" s="1365">
        <v>0.65999999999999992</v>
      </c>
      <c r="BK47" s="1365">
        <v>0.65999999999999992</v>
      </c>
      <c r="BL47" s="1365">
        <v>0.65999999999999992</v>
      </c>
      <c r="BM47" s="1365">
        <v>0.65999999999999992</v>
      </c>
      <c r="BN47" s="1365">
        <v>0.65999999999999992</v>
      </c>
      <c r="BO47" s="1365">
        <v>0.65999999999999992</v>
      </c>
      <c r="BP47" s="1365">
        <v>0.65999999999999992</v>
      </c>
      <c r="BQ47" s="1365">
        <v>0.65999999999999992</v>
      </c>
      <c r="BR47" s="1365">
        <v>0.65999999999999992</v>
      </c>
      <c r="BS47" s="1365">
        <v>0.65999999999999992</v>
      </c>
      <c r="BT47" s="1365">
        <v>0.65999999999999992</v>
      </c>
      <c r="BU47" s="1365">
        <v>0.65999999999999992</v>
      </c>
      <c r="BV47" s="1365">
        <v>0.65999999999999992</v>
      </c>
      <c r="BW47" s="1365">
        <v>0.65999999999999992</v>
      </c>
      <c r="BX47" s="1365">
        <v>0.65999999999999992</v>
      </c>
      <c r="BY47" s="1365">
        <v>0.65999999999999992</v>
      </c>
      <c r="BZ47" s="1365">
        <v>0.65999999999999992</v>
      </c>
      <c r="CA47" s="1365">
        <v>0.65999999999999992</v>
      </c>
      <c r="CB47" s="1365">
        <v>0.65999999999999992</v>
      </c>
      <c r="CC47" s="1365">
        <v>0.65999999999999992</v>
      </c>
      <c r="CD47" s="1365">
        <v>0.65999999999999992</v>
      </c>
      <c r="CE47" s="1365">
        <v>0.65999999999999992</v>
      </c>
      <c r="CF47" s="1365">
        <v>0.65999999999999992</v>
      </c>
      <c r="CG47" s="1365">
        <v>0.65999999999999992</v>
      </c>
      <c r="CH47" s="1365">
        <v>0.65999999999999992</v>
      </c>
      <c r="CI47" s="1365">
        <v>0.65999999999999992</v>
      </c>
      <c r="CJ47" s="1365">
        <v>0.65999999999999992</v>
      </c>
      <c r="CK47" s="1365">
        <v>0.65999999999999992</v>
      </c>
      <c r="CL47" s="1365">
        <v>0.65999999999999992</v>
      </c>
      <c r="CM47" s="1365">
        <v>0.65999999999999992</v>
      </c>
      <c r="CN47" s="1365">
        <v>0.65999999999999992</v>
      </c>
    </row>
    <row r="48" spans="2:92" ht="28" x14ac:dyDescent="0.3">
      <c r="B48" s="1252" t="s">
        <v>1301</v>
      </c>
      <c r="C48" s="1481" t="s">
        <v>2133</v>
      </c>
      <c r="D48" s="1248" t="s">
        <v>2132</v>
      </c>
      <c r="E48" s="1249" t="s">
        <v>1255</v>
      </c>
      <c r="F48" s="1580" t="s">
        <v>1214</v>
      </c>
      <c r="G48" s="1248" t="s">
        <v>852</v>
      </c>
      <c r="H48" s="1248" t="s">
        <v>1466</v>
      </c>
      <c r="I48" s="1250" t="s">
        <v>85</v>
      </c>
      <c r="J48" s="1250" t="s">
        <v>305</v>
      </c>
      <c r="K48" s="1253">
        <v>2</v>
      </c>
      <c r="L48" s="1251"/>
      <c r="M48" s="1581"/>
      <c r="N48" s="1581"/>
      <c r="O48" s="1581"/>
      <c r="P48" s="1581"/>
      <c r="Q48" s="1363"/>
      <c r="R48" s="1364">
        <v>0.318</v>
      </c>
      <c r="S48" s="1364">
        <v>0.63600000000000001</v>
      </c>
      <c r="T48" s="1364">
        <v>0.95399999999999996</v>
      </c>
      <c r="U48" s="1364">
        <v>1.272</v>
      </c>
      <c r="V48" s="1364">
        <v>1.59</v>
      </c>
      <c r="W48" s="1364">
        <v>1.8180000000000001</v>
      </c>
      <c r="X48" s="1364">
        <v>2.0460000000000003</v>
      </c>
      <c r="Y48" s="1364">
        <v>2.274</v>
      </c>
      <c r="Z48" s="1364">
        <v>2.5020000000000002</v>
      </c>
      <c r="AA48" s="1364">
        <v>2.7300000000000004</v>
      </c>
      <c r="AB48" s="1364">
        <v>2.4260000000000006</v>
      </c>
      <c r="AC48" s="1364">
        <v>2.1220000000000003</v>
      </c>
      <c r="AD48" s="1364">
        <v>1.8180000000000005</v>
      </c>
      <c r="AE48" s="1364">
        <v>1.5140000000000005</v>
      </c>
      <c r="AF48" s="1364">
        <v>1.2100000000000004</v>
      </c>
      <c r="AG48" s="1364">
        <v>0.98000000000000043</v>
      </c>
      <c r="AH48" s="1364">
        <v>0.75000000000000044</v>
      </c>
      <c r="AI48" s="1364">
        <v>0.52000000000000035</v>
      </c>
      <c r="AJ48" s="1364">
        <v>0.29000000000000037</v>
      </c>
      <c r="AK48" s="1364">
        <v>6.0000000000000275E-2</v>
      </c>
      <c r="AL48" s="1364">
        <v>4.8000000000000174E-2</v>
      </c>
      <c r="AM48" s="1364">
        <v>3.6000000000000074E-2</v>
      </c>
      <c r="AN48" s="1364">
        <v>2.3999999999999973E-2</v>
      </c>
      <c r="AO48" s="1364">
        <v>1.1999999999999872E-2</v>
      </c>
      <c r="AP48" s="1364">
        <v>-2.2898349882893854E-16</v>
      </c>
      <c r="AQ48" s="1364">
        <v>-2.2898349882893854E-16</v>
      </c>
      <c r="AR48" s="1364">
        <v>-2.2898349882893854E-16</v>
      </c>
      <c r="AS48" s="1364">
        <v>-2.2898349882893854E-16</v>
      </c>
      <c r="AT48" s="1364">
        <v>-2.2898349882893854E-16</v>
      </c>
      <c r="AU48" s="1364">
        <v>-2.2898349882893854E-16</v>
      </c>
      <c r="AV48" s="1364">
        <v>-2.2898349882893854E-16</v>
      </c>
      <c r="AW48" s="1364">
        <v>-2.2898349882893854E-16</v>
      </c>
      <c r="AX48" s="1364">
        <v>-2.2898349882893854E-16</v>
      </c>
      <c r="AY48" s="1364">
        <v>-2.2898349882893854E-16</v>
      </c>
      <c r="AZ48" s="1364">
        <v>-2.2898349882893854E-16</v>
      </c>
      <c r="BA48" s="1364">
        <v>-2.2898349882893854E-16</v>
      </c>
      <c r="BB48" s="1364">
        <v>-2.2898349882893854E-16</v>
      </c>
      <c r="BC48" s="1364">
        <v>-2.2898349882893854E-16</v>
      </c>
      <c r="BD48" s="1364">
        <v>-2.2898349882893854E-16</v>
      </c>
      <c r="BE48" s="1364">
        <v>-2.2898349882893854E-16</v>
      </c>
      <c r="BF48" s="1364">
        <v>-2.2898349882893854E-16</v>
      </c>
      <c r="BG48" s="1364">
        <v>-2.2898349882893854E-16</v>
      </c>
      <c r="BH48" s="1364">
        <v>-2.2898349882893854E-16</v>
      </c>
      <c r="BI48" s="1364">
        <v>-2.2898349882893854E-16</v>
      </c>
      <c r="BJ48" s="1364">
        <v>-2.2898349882893854E-16</v>
      </c>
      <c r="BK48" s="1364">
        <v>-2.2898349882893854E-16</v>
      </c>
      <c r="BL48" s="1364">
        <v>-2.2898349882893854E-16</v>
      </c>
      <c r="BM48" s="1364">
        <v>-2.2898349882893854E-16</v>
      </c>
      <c r="BN48" s="1364">
        <v>-2.2898349882893854E-16</v>
      </c>
      <c r="BO48" s="1364">
        <v>-2.2898349882893854E-16</v>
      </c>
      <c r="BP48" s="1364">
        <v>-2.2898349882893854E-16</v>
      </c>
      <c r="BQ48" s="1364">
        <v>-2.2898349882893854E-16</v>
      </c>
      <c r="BR48" s="1364">
        <v>-2.2898349882893854E-16</v>
      </c>
      <c r="BS48" s="1364">
        <v>-2.2898349882893854E-16</v>
      </c>
      <c r="BT48" s="1364">
        <v>-2.2898349882893854E-16</v>
      </c>
      <c r="BU48" s="1364">
        <v>-2.2898349882893854E-16</v>
      </c>
      <c r="BV48" s="1364">
        <v>-2.2898349882893854E-16</v>
      </c>
      <c r="BW48" s="1364">
        <v>-2.2898349882893854E-16</v>
      </c>
      <c r="BX48" s="1364">
        <v>-2.2898349882893854E-16</v>
      </c>
      <c r="BY48" s="1364">
        <v>-2.2898349882893854E-16</v>
      </c>
      <c r="BZ48" s="1364">
        <v>-2.2898349882893854E-16</v>
      </c>
      <c r="CA48" s="1364">
        <v>-2.2898349882893854E-16</v>
      </c>
      <c r="CB48" s="1364">
        <v>-2.2898349882893854E-16</v>
      </c>
      <c r="CC48" s="1364">
        <v>-2.2898349882893854E-16</v>
      </c>
      <c r="CD48" s="1364">
        <v>-2.2898349882893854E-16</v>
      </c>
      <c r="CE48" s="1364">
        <v>-2.2898349882893854E-16</v>
      </c>
      <c r="CF48" s="1364">
        <v>-2.2898349882893854E-16</v>
      </c>
      <c r="CG48" s="1364">
        <v>-2.2898349882893854E-16</v>
      </c>
      <c r="CH48" s="1364">
        <v>-2.2898349882893854E-16</v>
      </c>
      <c r="CI48" s="1364">
        <v>-2.2898349882893854E-16</v>
      </c>
      <c r="CJ48" s="1364">
        <v>-2.2898349882893854E-16</v>
      </c>
      <c r="CK48" s="1364">
        <v>-2.2898349882893854E-16</v>
      </c>
      <c r="CL48" s="1364">
        <v>-2.2898349882893854E-16</v>
      </c>
      <c r="CM48" s="1364">
        <v>-2.2898349882893854E-16</v>
      </c>
      <c r="CN48" s="1364">
        <v>-2.2898349882893854E-16</v>
      </c>
    </row>
    <row r="49" spans="2:92" ht="28" x14ac:dyDescent="0.35">
      <c r="B49" s="1252" t="s">
        <v>1301</v>
      </c>
      <c r="C49" s="1409" t="s">
        <v>2135</v>
      </c>
      <c r="D49" s="1248" t="s">
        <v>2134</v>
      </c>
      <c r="E49" s="1249" t="s">
        <v>1274</v>
      </c>
      <c r="F49" s="1580" t="s">
        <v>1088</v>
      </c>
      <c r="G49" s="1248" t="s">
        <v>852</v>
      </c>
      <c r="H49" s="1248" t="s">
        <v>1466</v>
      </c>
      <c r="I49" s="1250" t="s">
        <v>85</v>
      </c>
      <c r="J49" s="1250" t="s">
        <v>305</v>
      </c>
      <c r="K49" s="1253">
        <v>2</v>
      </c>
      <c r="L49" s="1251"/>
      <c r="M49" s="1581"/>
      <c r="N49" s="1581"/>
      <c r="O49" s="1581"/>
      <c r="P49" s="1581"/>
      <c r="Q49" s="1363"/>
      <c r="R49" s="1364">
        <v>0</v>
      </c>
      <c r="S49" s="1364">
        <v>0</v>
      </c>
      <c r="T49" s="1364">
        <v>0</v>
      </c>
      <c r="U49" s="1364">
        <v>0</v>
      </c>
      <c r="V49" s="1364">
        <v>0.13486073293168299</v>
      </c>
      <c r="W49" s="1364">
        <v>0.27358059188231798</v>
      </c>
      <c r="X49" s="1364">
        <v>0.41530400057688299</v>
      </c>
      <c r="Y49" s="1364">
        <v>0.55835903588698699</v>
      </c>
      <c r="Z49" s="1364">
        <v>0.70400838955184697</v>
      </c>
      <c r="AA49" s="1364">
        <v>0.85245872329848205</v>
      </c>
      <c r="AB49" s="1364">
        <v>1.1597157717469599</v>
      </c>
      <c r="AC49" s="1364">
        <v>1.46999754553782</v>
      </c>
      <c r="AD49" s="1364">
        <v>1.7832920109607799</v>
      </c>
      <c r="AE49" s="1364">
        <v>2.1017250883327798</v>
      </c>
      <c r="AF49" s="1364">
        <v>2.42187381770461</v>
      </c>
      <c r="AG49" s="1364">
        <v>2.7456594726766301</v>
      </c>
      <c r="AH49" s="1364">
        <v>3.0726044612208501</v>
      </c>
      <c r="AI49" s="1364">
        <v>3.4024687841332799</v>
      </c>
      <c r="AJ49" s="1364">
        <v>3.73551686768519</v>
      </c>
      <c r="AK49" s="1364">
        <v>4.0711229710592702</v>
      </c>
      <c r="AL49" s="1364">
        <v>4.1963961342818603</v>
      </c>
      <c r="AM49" s="1364">
        <v>4.3216996634544103</v>
      </c>
      <c r="AN49" s="1364">
        <v>4.4474370378613601</v>
      </c>
      <c r="AO49" s="1364">
        <v>4.5730443428297498</v>
      </c>
      <c r="AP49" s="1364">
        <v>4.6977937971219399</v>
      </c>
      <c r="AQ49" s="1364">
        <v>4.81147585610832</v>
      </c>
      <c r="AR49" s="1364">
        <v>4.9251900711853001</v>
      </c>
      <c r="AS49" s="1364">
        <v>5.0389733689304901</v>
      </c>
      <c r="AT49" s="1364">
        <v>5.0430610217068601</v>
      </c>
      <c r="AU49" s="1364">
        <v>5.0470549125245601</v>
      </c>
      <c r="AV49" s="1364">
        <v>5.0506508904729701</v>
      </c>
      <c r="AW49" s="1364">
        <v>5.0542857432665498</v>
      </c>
      <c r="AX49" s="1364">
        <v>5.05768095531909</v>
      </c>
      <c r="AY49" s="1364">
        <v>5.0607461136446599</v>
      </c>
      <c r="AZ49" s="1364">
        <v>5.0636812130769204</v>
      </c>
      <c r="BA49" s="1364">
        <v>5.0663155204205204</v>
      </c>
      <c r="BB49" s="1364">
        <v>5.0688706795882403</v>
      </c>
      <c r="BC49" s="1364">
        <v>5.0713102756860504</v>
      </c>
      <c r="BD49" s="1364">
        <v>5.0734611811257802</v>
      </c>
      <c r="BE49" s="1364">
        <v>5.0755169118676902</v>
      </c>
      <c r="BF49" s="1364">
        <v>5.0775427472182697</v>
      </c>
      <c r="BG49" s="1364">
        <v>5.0797545844033598</v>
      </c>
      <c r="BH49" s="1364">
        <v>5.0820098590454998</v>
      </c>
      <c r="BI49" s="1364">
        <v>5.0844123001421497</v>
      </c>
      <c r="BJ49" s="1364">
        <v>5.0868824287175398</v>
      </c>
      <c r="BK49" s="1364">
        <v>5.0894491907225996</v>
      </c>
      <c r="BL49" s="1364">
        <v>5.0923656354075799</v>
      </c>
      <c r="BM49" s="1364">
        <v>5.0955305397941304</v>
      </c>
      <c r="BN49" s="1364">
        <v>5.09906008877494</v>
      </c>
      <c r="BO49" s="1364">
        <v>5.1028825900133299</v>
      </c>
      <c r="BP49" s="1364">
        <v>5.1069083373112996</v>
      </c>
      <c r="BQ49" s="1364">
        <v>5.1113066880967999</v>
      </c>
      <c r="BR49" s="1364">
        <v>5.1160936528041496</v>
      </c>
      <c r="BS49" s="1364">
        <v>5.1212273402457997</v>
      </c>
      <c r="BT49" s="1364">
        <v>5.1266996129731002</v>
      </c>
      <c r="BU49" s="1364">
        <v>5.1324322919277297</v>
      </c>
      <c r="BV49" s="1364">
        <v>5.13843343951297</v>
      </c>
      <c r="BW49" s="1364">
        <v>5.1447176243406396</v>
      </c>
      <c r="BX49" s="1364">
        <v>5.1511721009597897</v>
      </c>
      <c r="BY49" s="1364">
        <v>5.1578081482699103</v>
      </c>
      <c r="BZ49" s="1364">
        <v>5.16452954320508</v>
      </c>
      <c r="CA49" s="1364">
        <v>5.1714196550080702</v>
      </c>
      <c r="CB49" s="1364">
        <v>5.1783005938893796</v>
      </c>
      <c r="CC49" s="1364">
        <v>5.1852025447030599</v>
      </c>
      <c r="CD49" s="1364">
        <v>5.1920746035935199</v>
      </c>
      <c r="CE49" s="1364">
        <v>5.1988574579146203</v>
      </c>
      <c r="CF49" s="1364">
        <v>5.2055982664281801</v>
      </c>
      <c r="CG49" s="1364">
        <v>5.2123265040457998</v>
      </c>
      <c r="CH49" s="1364">
        <v>5.2190314424520698</v>
      </c>
      <c r="CI49" s="1364">
        <v>5.2256642304908398</v>
      </c>
      <c r="CJ49" s="1364">
        <v>5.2321092410700096</v>
      </c>
      <c r="CK49" s="1364">
        <v>5.2384181277827198</v>
      </c>
      <c r="CL49" s="1364">
        <v>5.2446732671048997</v>
      </c>
      <c r="CM49" s="1364">
        <v>5.2508771590190202</v>
      </c>
      <c r="CN49" s="1364">
        <v>5.2569159499999998</v>
      </c>
    </row>
    <row r="50" spans="2:92" ht="42" x14ac:dyDescent="0.35">
      <c r="B50" s="1252" t="s">
        <v>1301</v>
      </c>
      <c r="C50" s="1248" t="s">
        <v>1276</v>
      </c>
      <c r="D50" s="1248" t="s">
        <v>1275</v>
      </c>
      <c r="E50" s="1249" t="s">
        <v>1277</v>
      </c>
      <c r="F50" s="1580" t="s">
        <v>1088</v>
      </c>
      <c r="G50" s="1248" t="s">
        <v>852</v>
      </c>
      <c r="H50" s="1248" t="s">
        <v>1466</v>
      </c>
      <c r="I50" s="1250" t="s">
        <v>85</v>
      </c>
      <c r="J50" s="1250" t="s">
        <v>305</v>
      </c>
      <c r="K50" s="1253">
        <v>2</v>
      </c>
      <c r="L50" s="1251"/>
      <c r="M50" s="1581"/>
      <c r="N50" s="1581"/>
      <c r="O50" s="1581"/>
      <c r="P50" s="1581"/>
      <c r="Q50" s="1363"/>
      <c r="R50" s="1364">
        <v>0.154</v>
      </c>
      <c r="S50" s="1364">
        <v>0.308</v>
      </c>
      <c r="T50" s="1364">
        <v>0.46199999999999997</v>
      </c>
      <c r="U50" s="1364">
        <v>0.61599999999999999</v>
      </c>
      <c r="V50" s="1364">
        <v>0.77</v>
      </c>
      <c r="W50" s="1364">
        <v>0.88600000000000001</v>
      </c>
      <c r="X50" s="1364">
        <v>1.002</v>
      </c>
      <c r="Y50" s="1364">
        <v>1.1180000000000001</v>
      </c>
      <c r="Z50" s="1364">
        <v>1.234</v>
      </c>
      <c r="AA50" s="1364">
        <v>1.35</v>
      </c>
      <c r="AB50" s="1364">
        <v>1.35</v>
      </c>
      <c r="AC50" s="1364">
        <v>1.35</v>
      </c>
      <c r="AD50" s="1364">
        <v>1.35</v>
      </c>
      <c r="AE50" s="1364">
        <v>1.35</v>
      </c>
      <c r="AF50" s="1364">
        <v>1.35</v>
      </c>
      <c r="AG50" s="1364">
        <v>1.35</v>
      </c>
      <c r="AH50" s="1364">
        <v>1.35</v>
      </c>
      <c r="AI50" s="1364">
        <v>1.35</v>
      </c>
      <c r="AJ50" s="1364">
        <v>1.35</v>
      </c>
      <c r="AK50" s="1364">
        <v>1.35</v>
      </c>
      <c r="AL50" s="1364">
        <v>1.35</v>
      </c>
      <c r="AM50" s="1364">
        <v>1.35</v>
      </c>
      <c r="AN50" s="1364">
        <v>1.35</v>
      </c>
      <c r="AO50" s="1364">
        <v>1.35</v>
      </c>
      <c r="AP50" s="1364">
        <v>1.35</v>
      </c>
      <c r="AQ50" s="1364">
        <v>1.35</v>
      </c>
      <c r="AR50" s="1364">
        <v>1.35</v>
      </c>
      <c r="AS50" s="1364">
        <v>1.35</v>
      </c>
      <c r="AT50" s="1364">
        <v>1.35</v>
      </c>
      <c r="AU50" s="1364">
        <v>1.35</v>
      </c>
      <c r="AV50" s="1364">
        <v>1.35</v>
      </c>
      <c r="AW50" s="1364">
        <v>1.35</v>
      </c>
      <c r="AX50" s="1364">
        <v>1.35</v>
      </c>
      <c r="AY50" s="1364">
        <v>1.35</v>
      </c>
      <c r="AZ50" s="1364">
        <v>1.35</v>
      </c>
      <c r="BA50" s="1364">
        <v>1.35</v>
      </c>
      <c r="BB50" s="1364">
        <v>1.35</v>
      </c>
      <c r="BC50" s="1364">
        <v>1.35</v>
      </c>
      <c r="BD50" s="1364">
        <v>1.35</v>
      </c>
      <c r="BE50" s="1364">
        <v>1.35</v>
      </c>
      <c r="BF50" s="1364">
        <v>1.35</v>
      </c>
      <c r="BG50" s="1364">
        <v>1.35</v>
      </c>
      <c r="BH50" s="1364">
        <v>1.35</v>
      </c>
      <c r="BI50" s="1364">
        <v>1.35</v>
      </c>
      <c r="BJ50" s="1364">
        <v>1.35</v>
      </c>
      <c r="BK50" s="1364">
        <v>1.35</v>
      </c>
      <c r="BL50" s="1364">
        <v>1.35</v>
      </c>
      <c r="BM50" s="1364">
        <v>1.35</v>
      </c>
      <c r="BN50" s="1364">
        <v>1.35</v>
      </c>
      <c r="BO50" s="1364">
        <v>1.35</v>
      </c>
      <c r="BP50" s="1364">
        <v>1.35</v>
      </c>
      <c r="BQ50" s="1364">
        <v>1.35</v>
      </c>
      <c r="BR50" s="1364">
        <v>1.35</v>
      </c>
      <c r="BS50" s="1364">
        <v>1.35</v>
      </c>
      <c r="BT50" s="1364">
        <v>1.35</v>
      </c>
      <c r="BU50" s="1364">
        <v>1.35</v>
      </c>
      <c r="BV50" s="1364">
        <v>1.35</v>
      </c>
      <c r="BW50" s="1364">
        <v>1.35</v>
      </c>
      <c r="BX50" s="1364">
        <v>1.35</v>
      </c>
      <c r="BY50" s="1364">
        <v>1.35</v>
      </c>
      <c r="BZ50" s="1364">
        <v>1.35</v>
      </c>
      <c r="CA50" s="1364">
        <v>1.35</v>
      </c>
      <c r="CB50" s="1364">
        <v>1.35</v>
      </c>
      <c r="CC50" s="1364">
        <v>1.35</v>
      </c>
      <c r="CD50" s="1364">
        <v>1.35</v>
      </c>
      <c r="CE50" s="1364">
        <v>1.35</v>
      </c>
      <c r="CF50" s="1364">
        <v>1.35</v>
      </c>
      <c r="CG50" s="1364">
        <v>1.35</v>
      </c>
      <c r="CH50" s="1364">
        <v>1.35</v>
      </c>
      <c r="CI50" s="1364">
        <v>1.35</v>
      </c>
      <c r="CJ50" s="1364">
        <v>1.35</v>
      </c>
      <c r="CK50" s="1364">
        <v>1.35</v>
      </c>
      <c r="CL50" s="1364">
        <v>1.35</v>
      </c>
      <c r="CM50" s="1364">
        <v>1.35</v>
      </c>
      <c r="CN50" s="1364">
        <v>1.35</v>
      </c>
    </row>
    <row r="51" spans="2:92" x14ac:dyDescent="0.35">
      <c r="B51" s="1252" t="s">
        <v>1301</v>
      </c>
      <c r="C51" s="1248" t="s">
        <v>1281</v>
      </c>
      <c r="D51" s="1248" t="s">
        <v>1280</v>
      </c>
      <c r="E51" s="1249" t="s">
        <v>1282</v>
      </c>
      <c r="F51" s="1580" t="s">
        <v>1088</v>
      </c>
      <c r="G51" s="1248" t="s">
        <v>852</v>
      </c>
      <c r="H51" s="1248" t="s">
        <v>1466</v>
      </c>
      <c r="I51" s="1250" t="s">
        <v>85</v>
      </c>
      <c r="J51" s="1250" t="s">
        <v>305</v>
      </c>
      <c r="K51" s="1253">
        <v>2</v>
      </c>
      <c r="L51" s="362"/>
      <c r="M51" s="362"/>
      <c r="N51" s="362"/>
      <c r="O51" s="1361"/>
      <c r="P51" s="1362"/>
      <c r="Q51" s="1363"/>
      <c r="R51" s="1364">
        <v>0</v>
      </c>
      <c r="S51" s="363">
        <v>0</v>
      </c>
      <c r="T51" s="363">
        <v>0</v>
      </c>
      <c r="U51" s="363">
        <v>0</v>
      </c>
      <c r="V51" s="363">
        <v>0</v>
      </c>
      <c r="W51" s="363">
        <v>7.3999999999999996E-2</v>
      </c>
      <c r="X51" s="363">
        <v>0.14799999999999999</v>
      </c>
      <c r="Y51" s="363">
        <v>0.22199999999999998</v>
      </c>
      <c r="Z51" s="363">
        <v>0.29599999999999999</v>
      </c>
      <c r="AA51" s="363">
        <v>0.37</v>
      </c>
      <c r="AB51" s="363">
        <v>0.438</v>
      </c>
      <c r="AC51" s="363">
        <v>0.50600000000000001</v>
      </c>
      <c r="AD51" s="363">
        <v>0.57400000000000007</v>
      </c>
      <c r="AE51" s="363">
        <v>0.64200000000000002</v>
      </c>
      <c r="AF51" s="363">
        <v>0.71</v>
      </c>
      <c r="AG51" s="363">
        <v>0.71</v>
      </c>
      <c r="AH51" s="363">
        <v>0.71</v>
      </c>
      <c r="AI51" s="363">
        <v>0.71</v>
      </c>
      <c r="AJ51" s="363">
        <v>0.71</v>
      </c>
      <c r="AK51" s="363">
        <v>0.71</v>
      </c>
      <c r="AL51" s="363">
        <v>0.76400000000000001</v>
      </c>
      <c r="AM51" s="363">
        <v>0.81799999999999995</v>
      </c>
      <c r="AN51" s="363">
        <v>0.872</v>
      </c>
      <c r="AO51" s="363">
        <v>0.92599999999999993</v>
      </c>
      <c r="AP51" s="363">
        <v>0.98</v>
      </c>
      <c r="AQ51" s="363">
        <v>0.98</v>
      </c>
      <c r="AR51" s="363">
        <v>0.98</v>
      </c>
      <c r="AS51" s="363">
        <v>0.98</v>
      </c>
      <c r="AT51" s="363">
        <v>0.98</v>
      </c>
      <c r="AU51" s="363">
        <v>0.98</v>
      </c>
      <c r="AV51" s="363">
        <v>0.98</v>
      </c>
      <c r="AW51" s="363">
        <v>0.98</v>
      </c>
      <c r="AX51" s="363">
        <v>0.98</v>
      </c>
      <c r="AY51" s="363">
        <v>0.98</v>
      </c>
      <c r="AZ51" s="363">
        <v>0.98</v>
      </c>
      <c r="BA51" s="363">
        <v>0.98</v>
      </c>
      <c r="BB51" s="363">
        <v>0.98</v>
      </c>
      <c r="BC51" s="363">
        <v>0.98</v>
      </c>
      <c r="BD51" s="363">
        <v>0.98</v>
      </c>
      <c r="BE51" s="363">
        <v>0.98</v>
      </c>
      <c r="BF51" s="363">
        <v>0.98</v>
      </c>
      <c r="BG51" s="363">
        <v>0.98</v>
      </c>
      <c r="BH51" s="363">
        <v>0.98</v>
      </c>
      <c r="BI51" s="363">
        <v>0.98</v>
      </c>
      <c r="BJ51" s="363">
        <v>0.98</v>
      </c>
      <c r="BK51" s="363">
        <v>0.98</v>
      </c>
      <c r="BL51" s="363">
        <v>0.98</v>
      </c>
      <c r="BM51" s="363">
        <v>0.98</v>
      </c>
      <c r="BN51" s="363">
        <v>0.98</v>
      </c>
      <c r="BO51" s="363">
        <v>0.98</v>
      </c>
      <c r="BP51" s="363">
        <v>0.98</v>
      </c>
      <c r="BQ51" s="363">
        <v>0.98</v>
      </c>
      <c r="BR51" s="363">
        <v>0.98</v>
      </c>
      <c r="BS51" s="363">
        <v>0.98</v>
      </c>
      <c r="BT51" s="363">
        <v>0.98</v>
      </c>
      <c r="BU51" s="363">
        <v>0.98</v>
      </c>
      <c r="BV51" s="363">
        <v>0.98</v>
      </c>
      <c r="BW51" s="363">
        <v>0.98</v>
      </c>
      <c r="BX51" s="363">
        <v>0.98</v>
      </c>
      <c r="BY51" s="363">
        <v>0.98</v>
      </c>
      <c r="BZ51" s="363">
        <v>0.98</v>
      </c>
      <c r="CA51" s="363">
        <v>0.98</v>
      </c>
      <c r="CB51" s="363">
        <v>0.98</v>
      </c>
      <c r="CC51" s="363">
        <v>0.98</v>
      </c>
      <c r="CD51" s="363">
        <v>0.98</v>
      </c>
      <c r="CE51" s="363">
        <v>0.98</v>
      </c>
      <c r="CF51" s="363">
        <v>0.98</v>
      </c>
      <c r="CG51" s="363">
        <v>0.98</v>
      </c>
      <c r="CH51" s="363">
        <v>0.98</v>
      </c>
      <c r="CI51" s="363">
        <v>0.98</v>
      </c>
      <c r="CJ51" s="363">
        <v>0.98</v>
      </c>
      <c r="CK51" s="363">
        <v>0.98</v>
      </c>
      <c r="CL51" s="363">
        <v>0.98</v>
      </c>
      <c r="CM51" s="363">
        <v>0.98</v>
      </c>
      <c r="CN51" s="363">
        <v>0.98</v>
      </c>
    </row>
    <row r="52" spans="2:92" ht="28" x14ac:dyDescent="0.35">
      <c r="B52" s="1252" t="s">
        <v>1301</v>
      </c>
      <c r="C52" s="1248" t="s">
        <v>1415</v>
      </c>
      <c r="D52" s="1248" t="s">
        <v>2171</v>
      </c>
      <c r="E52" s="1249" t="s">
        <v>2153</v>
      </c>
      <c r="F52" s="1580" t="s">
        <v>1088</v>
      </c>
      <c r="G52" s="1248" t="s">
        <v>852</v>
      </c>
      <c r="H52" s="1248" t="s">
        <v>1466</v>
      </c>
      <c r="I52" s="1250" t="s">
        <v>85</v>
      </c>
      <c r="J52" s="1250" t="s">
        <v>305</v>
      </c>
      <c r="K52" s="1253">
        <v>2</v>
      </c>
      <c r="L52" s="362"/>
      <c r="M52" s="362"/>
      <c r="N52" s="362"/>
      <c r="O52" s="1361"/>
      <c r="P52" s="1362"/>
      <c r="Q52" s="1363"/>
      <c r="R52" s="1364">
        <v>3</v>
      </c>
      <c r="S52" s="1364">
        <v>3</v>
      </c>
      <c r="T52" s="1364">
        <v>3</v>
      </c>
      <c r="U52" s="1364">
        <v>3</v>
      </c>
      <c r="V52" s="1364">
        <v>3</v>
      </c>
      <c r="W52" s="1364">
        <v>3</v>
      </c>
      <c r="X52" s="1364">
        <v>3</v>
      </c>
      <c r="Y52" s="1364">
        <v>3</v>
      </c>
      <c r="Z52" s="1364">
        <v>3</v>
      </c>
      <c r="AA52" s="1364">
        <v>3</v>
      </c>
      <c r="AB52" s="1364">
        <v>3</v>
      </c>
      <c r="AC52" s="1364">
        <v>3</v>
      </c>
      <c r="AD52" s="1364">
        <v>3</v>
      </c>
      <c r="AE52" s="1364">
        <v>3</v>
      </c>
      <c r="AF52" s="1364">
        <v>3</v>
      </c>
      <c r="AG52" s="1364">
        <v>3</v>
      </c>
      <c r="AH52" s="1364">
        <v>3</v>
      </c>
      <c r="AI52" s="1364">
        <v>3</v>
      </c>
      <c r="AJ52" s="1364">
        <v>3</v>
      </c>
      <c r="AK52" s="1364">
        <v>3</v>
      </c>
      <c r="AL52" s="1364">
        <v>3</v>
      </c>
      <c r="AM52" s="1364">
        <v>3</v>
      </c>
      <c r="AN52" s="1364">
        <v>3</v>
      </c>
      <c r="AO52" s="1364">
        <v>3</v>
      </c>
      <c r="AP52" s="1364">
        <v>3</v>
      </c>
      <c r="AQ52" s="1364">
        <v>3</v>
      </c>
      <c r="AR52" s="1364">
        <v>3</v>
      </c>
      <c r="AS52" s="1364">
        <v>3</v>
      </c>
      <c r="AT52" s="1364">
        <v>3</v>
      </c>
      <c r="AU52" s="1364">
        <v>3</v>
      </c>
      <c r="AV52" s="1364">
        <v>3</v>
      </c>
      <c r="AW52" s="1364">
        <v>3</v>
      </c>
      <c r="AX52" s="1364">
        <v>3</v>
      </c>
      <c r="AY52" s="1364">
        <v>3</v>
      </c>
      <c r="AZ52" s="1364">
        <v>3</v>
      </c>
      <c r="BA52" s="1364">
        <v>3</v>
      </c>
      <c r="BB52" s="1364">
        <v>3</v>
      </c>
      <c r="BC52" s="1364">
        <v>3</v>
      </c>
      <c r="BD52" s="1364">
        <v>3</v>
      </c>
      <c r="BE52" s="1364">
        <v>3</v>
      </c>
      <c r="BF52" s="1364">
        <v>3</v>
      </c>
      <c r="BG52" s="1364">
        <v>3</v>
      </c>
      <c r="BH52" s="1364">
        <v>3</v>
      </c>
      <c r="BI52" s="1364">
        <v>3</v>
      </c>
      <c r="BJ52" s="1364">
        <v>3</v>
      </c>
      <c r="BK52" s="1364">
        <v>3</v>
      </c>
      <c r="BL52" s="1364">
        <v>3</v>
      </c>
      <c r="BM52" s="1364">
        <v>3</v>
      </c>
      <c r="BN52" s="1364">
        <v>3</v>
      </c>
      <c r="BO52" s="1364">
        <v>3</v>
      </c>
      <c r="BP52" s="1364">
        <v>3</v>
      </c>
      <c r="BQ52" s="1364">
        <v>3</v>
      </c>
      <c r="BR52" s="1364">
        <v>3</v>
      </c>
      <c r="BS52" s="1364">
        <v>3</v>
      </c>
      <c r="BT52" s="1364">
        <v>3</v>
      </c>
      <c r="BU52" s="1364">
        <v>3</v>
      </c>
      <c r="BV52" s="1364">
        <v>3</v>
      </c>
      <c r="BW52" s="1364">
        <v>3</v>
      </c>
      <c r="BX52" s="1364">
        <v>3</v>
      </c>
      <c r="BY52" s="1364">
        <v>3</v>
      </c>
      <c r="BZ52" s="1364">
        <v>3</v>
      </c>
      <c r="CA52" s="1364">
        <v>3</v>
      </c>
      <c r="CB52" s="1364">
        <v>3</v>
      </c>
      <c r="CC52" s="1364">
        <v>3</v>
      </c>
      <c r="CD52" s="1364">
        <v>3</v>
      </c>
      <c r="CE52" s="1364">
        <v>3</v>
      </c>
      <c r="CF52" s="1364">
        <v>3</v>
      </c>
      <c r="CG52" s="1364">
        <v>3</v>
      </c>
      <c r="CH52" s="1364">
        <v>3</v>
      </c>
      <c r="CI52" s="1364">
        <v>3</v>
      </c>
      <c r="CJ52" s="1364">
        <v>3</v>
      </c>
      <c r="CK52" s="1364">
        <v>3</v>
      </c>
      <c r="CL52" s="1364">
        <v>3</v>
      </c>
      <c r="CM52" s="1364">
        <v>3</v>
      </c>
      <c r="CN52" s="1364">
        <v>3</v>
      </c>
    </row>
    <row r="53" spans="2:92" ht="28" x14ac:dyDescent="0.35">
      <c r="B53" s="1582" t="s">
        <v>2154</v>
      </c>
      <c r="C53" s="1480" t="s">
        <v>2111</v>
      </c>
      <c r="D53" s="1409" t="s">
        <v>2110</v>
      </c>
      <c r="E53" s="1249" t="s">
        <v>2153</v>
      </c>
      <c r="F53" s="1580" t="s">
        <v>1088</v>
      </c>
      <c r="G53" s="1248" t="s">
        <v>852</v>
      </c>
      <c r="H53" s="1248" t="s">
        <v>1523</v>
      </c>
      <c r="I53" s="1250" t="s">
        <v>85</v>
      </c>
      <c r="J53" s="1250" t="s">
        <v>305</v>
      </c>
      <c r="K53" s="1253">
        <v>2</v>
      </c>
      <c r="L53" s="362"/>
      <c r="M53" s="362"/>
      <c r="N53" s="362"/>
      <c r="O53" s="1361"/>
      <c r="P53" s="1362"/>
      <c r="Q53" s="1363"/>
      <c r="R53" s="1364">
        <v>5</v>
      </c>
      <c r="S53" s="1364">
        <v>5</v>
      </c>
      <c r="T53" s="1364">
        <v>5</v>
      </c>
      <c r="U53" s="1364">
        <v>5</v>
      </c>
      <c r="V53" s="1364">
        <v>5</v>
      </c>
      <c r="W53" s="1364">
        <v>5</v>
      </c>
      <c r="X53" s="1364">
        <v>5</v>
      </c>
      <c r="Y53" s="1364">
        <v>5</v>
      </c>
      <c r="Z53" s="1364">
        <v>5</v>
      </c>
      <c r="AA53" s="1364">
        <v>5</v>
      </c>
      <c r="AB53" s="1364">
        <v>5</v>
      </c>
      <c r="AC53" s="1364">
        <v>5</v>
      </c>
      <c r="AD53" s="1364">
        <v>5</v>
      </c>
      <c r="AE53" s="1364">
        <v>5</v>
      </c>
      <c r="AF53" s="1364">
        <v>5</v>
      </c>
      <c r="AG53" s="1364">
        <v>5</v>
      </c>
      <c r="AH53" s="1364">
        <v>5</v>
      </c>
      <c r="AI53" s="1364">
        <v>5</v>
      </c>
      <c r="AJ53" s="1364">
        <v>5</v>
      </c>
      <c r="AK53" s="1364">
        <v>5</v>
      </c>
      <c r="AL53" s="1364">
        <v>5</v>
      </c>
      <c r="AM53" s="1364">
        <v>5</v>
      </c>
      <c r="AN53" s="1364">
        <v>5</v>
      </c>
      <c r="AO53" s="1364">
        <v>5</v>
      </c>
      <c r="AP53" s="1364">
        <v>5</v>
      </c>
      <c r="AQ53" s="1364">
        <v>5</v>
      </c>
      <c r="AR53" s="1364">
        <v>5</v>
      </c>
      <c r="AS53" s="1364">
        <v>5</v>
      </c>
      <c r="AT53" s="1364">
        <v>5</v>
      </c>
      <c r="AU53" s="1364">
        <v>5</v>
      </c>
      <c r="AV53" s="1364">
        <v>5</v>
      </c>
      <c r="AW53" s="1364">
        <v>5</v>
      </c>
      <c r="AX53" s="1364">
        <v>5</v>
      </c>
      <c r="AY53" s="1364">
        <v>5</v>
      </c>
      <c r="AZ53" s="1364">
        <v>5</v>
      </c>
      <c r="BA53" s="1364">
        <v>5</v>
      </c>
      <c r="BB53" s="1364">
        <v>5</v>
      </c>
      <c r="BC53" s="1364">
        <v>5</v>
      </c>
      <c r="BD53" s="1364">
        <v>5</v>
      </c>
      <c r="BE53" s="1364">
        <v>5</v>
      </c>
      <c r="BF53" s="1364">
        <v>5</v>
      </c>
      <c r="BG53" s="1364">
        <v>5</v>
      </c>
      <c r="BH53" s="1364">
        <v>5</v>
      </c>
      <c r="BI53" s="1364">
        <v>5</v>
      </c>
      <c r="BJ53" s="1364">
        <v>5</v>
      </c>
      <c r="BK53" s="1364">
        <v>5</v>
      </c>
      <c r="BL53" s="1364">
        <v>5</v>
      </c>
      <c r="BM53" s="1364">
        <v>5</v>
      </c>
      <c r="BN53" s="1364">
        <v>5</v>
      </c>
      <c r="BO53" s="1364">
        <v>5</v>
      </c>
      <c r="BP53" s="1364">
        <v>5</v>
      </c>
      <c r="BQ53" s="1364">
        <v>5</v>
      </c>
      <c r="BR53" s="1364">
        <v>5</v>
      </c>
      <c r="BS53" s="1364">
        <v>5</v>
      </c>
      <c r="BT53" s="1364">
        <v>5</v>
      </c>
      <c r="BU53" s="1364">
        <v>5</v>
      </c>
      <c r="BV53" s="1364">
        <v>5</v>
      </c>
      <c r="BW53" s="1364">
        <v>5</v>
      </c>
      <c r="BX53" s="1364">
        <v>5</v>
      </c>
      <c r="BY53" s="1364">
        <v>5</v>
      </c>
      <c r="BZ53" s="1364">
        <v>5</v>
      </c>
      <c r="CA53" s="1364">
        <v>5</v>
      </c>
      <c r="CB53" s="1364">
        <v>5</v>
      </c>
      <c r="CC53" s="1364">
        <v>5</v>
      </c>
      <c r="CD53" s="1364">
        <v>5</v>
      </c>
      <c r="CE53" s="1364">
        <v>5</v>
      </c>
      <c r="CF53" s="1364">
        <v>5</v>
      </c>
      <c r="CG53" s="1364">
        <v>5</v>
      </c>
      <c r="CH53" s="1364">
        <v>5</v>
      </c>
      <c r="CI53" s="1364">
        <v>5</v>
      </c>
      <c r="CJ53" s="1364">
        <v>5</v>
      </c>
      <c r="CK53" s="1364">
        <v>5</v>
      </c>
      <c r="CL53" s="1364">
        <v>5</v>
      </c>
      <c r="CM53" s="1364">
        <v>5</v>
      </c>
      <c r="CN53" s="1364">
        <v>5</v>
      </c>
    </row>
    <row r="54" spans="2:92" ht="56" x14ac:dyDescent="0.3">
      <c r="B54" s="1582" t="s">
        <v>2154</v>
      </c>
      <c r="C54" s="1481" t="s">
        <v>2122</v>
      </c>
      <c r="D54" s="1248" t="s">
        <v>2121</v>
      </c>
      <c r="E54" s="1249" t="s">
        <v>1274</v>
      </c>
      <c r="F54" s="1580" t="s">
        <v>1088</v>
      </c>
      <c r="G54" s="1248" t="s">
        <v>852</v>
      </c>
      <c r="H54" s="1248" t="s">
        <v>1523</v>
      </c>
      <c r="I54" s="1250" t="s">
        <v>85</v>
      </c>
      <c r="J54" s="1250" t="s">
        <v>305</v>
      </c>
      <c r="K54" s="1253">
        <v>2</v>
      </c>
      <c r="L54" s="362"/>
      <c r="M54" s="362"/>
      <c r="N54" s="362"/>
      <c r="O54" s="1361"/>
      <c r="P54" s="1362"/>
      <c r="Q54" s="1363"/>
      <c r="R54" s="1364">
        <v>0.08</v>
      </c>
      <c r="S54" s="1364">
        <v>0.16</v>
      </c>
      <c r="T54" s="1364">
        <v>0.24</v>
      </c>
      <c r="U54" s="1364">
        <v>0.32</v>
      </c>
      <c r="V54" s="1364">
        <v>0.4</v>
      </c>
      <c r="W54" s="363">
        <v>0.48000000000000004</v>
      </c>
      <c r="X54" s="363">
        <v>0.56000000000000005</v>
      </c>
      <c r="Y54" s="363">
        <v>0.64</v>
      </c>
      <c r="Z54" s="363">
        <v>0.72</v>
      </c>
      <c r="AA54" s="363">
        <v>0.8</v>
      </c>
      <c r="AB54" s="363">
        <v>0.8</v>
      </c>
      <c r="AC54" s="363">
        <v>0.8</v>
      </c>
      <c r="AD54" s="363">
        <v>0.8</v>
      </c>
      <c r="AE54" s="363">
        <v>0.8</v>
      </c>
      <c r="AF54" s="363">
        <v>0.8</v>
      </c>
      <c r="AG54" s="363">
        <v>0.8</v>
      </c>
      <c r="AH54" s="363">
        <v>0.8</v>
      </c>
      <c r="AI54" s="363">
        <v>0.8</v>
      </c>
      <c r="AJ54" s="363">
        <v>0.8</v>
      </c>
      <c r="AK54" s="363">
        <v>0.8</v>
      </c>
      <c r="AL54" s="363">
        <v>0.8</v>
      </c>
      <c r="AM54" s="363">
        <v>0.8</v>
      </c>
      <c r="AN54" s="363">
        <v>0.8</v>
      </c>
      <c r="AO54" s="363">
        <v>0.8</v>
      </c>
      <c r="AP54" s="363">
        <v>0.8</v>
      </c>
      <c r="AQ54" s="363">
        <v>0.8</v>
      </c>
      <c r="AR54" s="363">
        <v>0.8</v>
      </c>
      <c r="AS54" s="363">
        <v>0.8</v>
      </c>
      <c r="AT54" s="363">
        <v>0.8</v>
      </c>
      <c r="AU54" s="363">
        <v>0.8</v>
      </c>
      <c r="AV54" s="363">
        <v>0.8</v>
      </c>
      <c r="AW54" s="363">
        <v>0.8</v>
      </c>
      <c r="AX54" s="363">
        <v>0.8</v>
      </c>
      <c r="AY54" s="363">
        <v>0.8</v>
      </c>
      <c r="AZ54" s="363">
        <v>0.8</v>
      </c>
      <c r="BA54" s="363">
        <v>0.8</v>
      </c>
      <c r="BB54" s="363">
        <v>0.8</v>
      </c>
      <c r="BC54" s="363">
        <v>0.8</v>
      </c>
      <c r="BD54" s="363">
        <v>0.8</v>
      </c>
      <c r="BE54" s="363">
        <v>0.8</v>
      </c>
      <c r="BF54" s="363">
        <v>0.8</v>
      </c>
      <c r="BG54" s="363">
        <v>0.8</v>
      </c>
      <c r="BH54" s="363">
        <v>0.8</v>
      </c>
      <c r="BI54" s="363">
        <v>0.8</v>
      </c>
      <c r="BJ54" s="363">
        <v>0.8</v>
      </c>
      <c r="BK54" s="363">
        <v>0.8</v>
      </c>
      <c r="BL54" s="363">
        <v>0.8</v>
      </c>
      <c r="BM54" s="363">
        <v>0.8</v>
      </c>
      <c r="BN54" s="363">
        <v>0.8</v>
      </c>
      <c r="BO54" s="363">
        <v>0.8</v>
      </c>
      <c r="BP54" s="363">
        <v>0.8</v>
      </c>
      <c r="BQ54" s="363">
        <v>0.8</v>
      </c>
      <c r="BR54" s="363">
        <v>0.8</v>
      </c>
      <c r="BS54" s="363">
        <v>0.8</v>
      </c>
      <c r="BT54" s="363">
        <v>0.8</v>
      </c>
      <c r="BU54" s="363">
        <v>0.8</v>
      </c>
      <c r="BV54" s="363">
        <v>0.8</v>
      </c>
      <c r="BW54" s="363">
        <v>0.8</v>
      </c>
      <c r="BX54" s="363">
        <v>0.8</v>
      </c>
      <c r="BY54" s="363">
        <v>0.8</v>
      </c>
      <c r="BZ54" s="363">
        <v>0.8</v>
      </c>
      <c r="CA54" s="363">
        <v>0.8</v>
      </c>
      <c r="CB54" s="363">
        <v>0.8</v>
      </c>
      <c r="CC54" s="363">
        <v>0.8</v>
      </c>
      <c r="CD54" s="363">
        <v>0.8</v>
      </c>
      <c r="CE54" s="363">
        <v>0.8</v>
      </c>
      <c r="CF54" s="363">
        <v>0.8</v>
      </c>
      <c r="CG54" s="363">
        <v>0.8</v>
      </c>
      <c r="CH54" s="363">
        <v>0.8</v>
      </c>
      <c r="CI54" s="363">
        <v>0.8</v>
      </c>
      <c r="CJ54" s="363">
        <v>0.8</v>
      </c>
      <c r="CK54" s="363">
        <v>0.8</v>
      </c>
      <c r="CL54" s="363">
        <v>0.8</v>
      </c>
      <c r="CM54" s="363">
        <v>0.8</v>
      </c>
      <c r="CN54" s="363">
        <v>0.8</v>
      </c>
    </row>
    <row r="55" spans="2:92" ht="42" x14ac:dyDescent="0.35">
      <c r="B55" s="1252" t="s">
        <v>2154</v>
      </c>
      <c r="C55" s="1248" t="s">
        <v>2129</v>
      </c>
      <c r="D55" s="1248" t="s">
        <v>2152</v>
      </c>
      <c r="E55" s="1249" t="s">
        <v>1250</v>
      </c>
      <c r="F55" s="1247" t="s">
        <v>1088</v>
      </c>
      <c r="G55" s="1248" t="s">
        <v>852</v>
      </c>
      <c r="H55" s="1248" t="s">
        <v>1523</v>
      </c>
      <c r="I55" s="1250" t="s">
        <v>85</v>
      </c>
      <c r="J55" s="1250" t="s">
        <v>305</v>
      </c>
      <c r="K55" s="1253">
        <v>2</v>
      </c>
      <c r="L55" s="1251"/>
      <c r="M55" s="1581"/>
      <c r="N55" s="1581"/>
      <c r="O55" s="1581"/>
      <c r="P55" s="1581"/>
      <c r="Q55" s="1363"/>
      <c r="R55" s="1364">
        <v>0.39</v>
      </c>
      <c r="S55" s="1364">
        <v>0.78</v>
      </c>
      <c r="T55" s="1364">
        <v>1.17</v>
      </c>
      <c r="U55" s="1364">
        <v>1.56</v>
      </c>
      <c r="V55" s="1364">
        <v>1.9500000000000002</v>
      </c>
      <c r="W55" s="363">
        <v>2.2080000000000002</v>
      </c>
      <c r="X55" s="363">
        <v>2.4660000000000002</v>
      </c>
      <c r="Y55" s="363">
        <v>2.7240000000000002</v>
      </c>
      <c r="Z55" s="363">
        <v>2.9820000000000002</v>
      </c>
      <c r="AA55" s="363">
        <v>3.24</v>
      </c>
      <c r="AB55" s="363">
        <v>3.24</v>
      </c>
      <c r="AC55" s="363">
        <v>3.24</v>
      </c>
      <c r="AD55" s="363">
        <v>3.24</v>
      </c>
      <c r="AE55" s="363">
        <v>3.24</v>
      </c>
      <c r="AF55" s="363">
        <v>3.24</v>
      </c>
      <c r="AG55" s="363">
        <v>3.24</v>
      </c>
      <c r="AH55" s="363">
        <v>3.24</v>
      </c>
      <c r="AI55" s="363">
        <v>3.24</v>
      </c>
      <c r="AJ55" s="363">
        <v>3.24</v>
      </c>
      <c r="AK55" s="363">
        <v>3.24</v>
      </c>
      <c r="AL55" s="363">
        <v>3.24</v>
      </c>
      <c r="AM55" s="363">
        <v>3.24</v>
      </c>
      <c r="AN55" s="363">
        <v>3.24</v>
      </c>
      <c r="AO55" s="363">
        <v>3.24</v>
      </c>
      <c r="AP55" s="363">
        <v>3.24</v>
      </c>
      <c r="AQ55" s="363">
        <v>3.24</v>
      </c>
      <c r="AR55" s="363">
        <v>3.24</v>
      </c>
      <c r="AS55" s="363">
        <v>3.24</v>
      </c>
      <c r="AT55" s="363">
        <v>3.24</v>
      </c>
      <c r="AU55" s="363">
        <v>3.24</v>
      </c>
      <c r="AV55" s="363">
        <v>3.24</v>
      </c>
      <c r="AW55" s="363">
        <v>3.24</v>
      </c>
      <c r="AX55" s="363">
        <v>3.24</v>
      </c>
      <c r="AY55" s="363">
        <v>3.24</v>
      </c>
      <c r="AZ55" s="363">
        <v>3.24</v>
      </c>
      <c r="BA55" s="363">
        <v>3.24</v>
      </c>
      <c r="BB55" s="363">
        <v>3.24</v>
      </c>
      <c r="BC55" s="363">
        <v>3.24</v>
      </c>
      <c r="BD55" s="363">
        <v>3.24</v>
      </c>
      <c r="BE55" s="363">
        <v>3.24</v>
      </c>
      <c r="BF55" s="363">
        <v>3.24</v>
      </c>
      <c r="BG55" s="363">
        <v>3.24</v>
      </c>
      <c r="BH55" s="363">
        <v>3.24</v>
      </c>
      <c r="BI55" s="363">
        <v>3.24</v>
      </c>
      <c r="BJ55" s="363">
        <v>3.24</v>
      </c>
      <c r="BK55" s="363">
        <v>3.24</v>
      </c>
      <c r="BL55" s="363">
        <v>3.24</v>
      </c>
      <c r="BM55" s="363">
        <v>3.24</v>
      </c>
      <c r="BN55" s="363">
        <v>3.24</v>
      </c>
      <c r="BO55" s="363">
        <v>3.24</v>
      </c>
      <c r="BP55" s="363">
        <v>3.24</v>
      </c>
      <c r="BQ55" s="363">
        <v>3.24</v>
      </c>
      <c r="BR55" s="363">
        <v>3.24</v>
      </c>
      <c r="BS55" s="363">
        <v>3.24</v>
      </c>
      <c r="BT55" s="363">
        <v>3.24</v>
      </c>
      <c r="BU55" s="363">
        <v>3.24</v>
      </c>
      <c r="BV55" s="363">
        <v>3.24</v>
      </c>
      <c r="BW55" s="363">
        <v>3.24</v>
      </c>
      <c r="BX55" s="363">
        <v>3.24</v>
      </c>
      <c r="BY55" s="363">
        <v>3.24</v>
      </c>
      <c r="BZ55" s="363">
        <v>3.24</v>
      </c>
      <c r="CA55" s="363">
        <v>3.24</v>
      </c>
      <c r="CB55" s="363">
        <v>3.24</v>
      </c>
      <c r="CC55" s="363">
        <v>3.24</v>
      </c>
      <c r="CD55" s="363">
        <v>3.24</v>
      </c>
      <c r="CE55" s="363">
        <v>3.24</v>
      </c>
      <c r="CF55" s="363">
        <v>3.24</v>
      </c>
      <c r="CG55" s="363">
        <v>3.24</v>
      </c>
      <c r="CH55" s="363">
        <v>3.24</v>
      </c>
      <c r="CI55" s="363">
        <v>3.24</v>
      </c>
      <c r="CJ55" s="363">
        <v>3.24</v>
      </c>
      <c r="CK55" s="363">
        <v>3.24</v>
      </c>
      <c r="CL55" s="363">
        <v>3.24</v>
      </c>
      <c r="CM55" s="363">
        <v>3.24</v>
      </c>
      <c r="CN55" s="363">
        <v>3.24</v>
      </c>
    </row>
    <row r="56" spans="2:92" ht="42" x14ac:dyDescent="0.35">
      <c r="B56" s="1252" t="s">
        <v>2154</v>
      </c>
      <c r="C56" s="1248" t="s">
        <v>1252</v>
      </c>
      <c r="D56" s="1248" t="s">
        <v>1251</v>
      </c>
      <c r="E56" s="1249" t="s">
        <v>1250</v>
      </c>
      <c r="F56" s="1247" t="s">
        <v>1088</v>
      </c>
      <c r="G56" s="1248" t="s">
        <v>852</v>
      </c>
      <c r="H56" s="1248" t="s">
        <v>1523</v>
      </c>
      <c r="I56" s="1250" t="s">
        <v>85</v>
      </c>
      <c r="J56" s="1250" t="s">
        <v>305</v>
      </c>
      <c r="K56" s="1253">
        <v>2</v>
      </c>
      <c r="L56" s="1251"/>
      <c r="M56" s="1581"/>
      <c r="N56" s="1581"/>
      <c r="O56" s="1581"/>
      <c r="P56" s="1581"/>
      <c r="Q56" s="1363"/>
      <c r="R56" s="1364">
        <v>0.14199999999999999</v>
      </c>
      <c r="S56" s="1364">
        <v>0.28399999999999997</v>
      </c>
      <c r="T56" s="1364">
        <v>0.42599999999999993</v>
      </c>
      <c r="U56" s="1364">
        <v>0.56799999999999995</v>
      </c>
      <c r="V56" s="1364">
        <v>0.71</v>
      </c>
      <c r="W56" s="1364">
        <v>0.85199999999999998</v>
      </c>
      <c r="X56" s="1364">
        <v>0.99399999999999999</v>
      </c>
      <c r="Y56" s="1364">
        <v>1.1359999999999999</v>
      </c>
      <c r="Z56" s="1364">
        <v>1.278</v>
      </c>
      <c r="AA56" s="1364">
        <v>1.42</v>
      </c>
      <c r="AB56" s="363">
        <v>1.42</v>
      </c>
      <c r="AC56" s="363">
        <v>1.42</v>
      </c>
      <c r="AD56" s="363">
        <v>1.42</v>
      </c>
      <c r="AE56" s="363">
        <v>1.42</v>
      </c>
      <c r="AF56" s="363">
        <v>1.42</v>
      </c>
      <c r="AG56" s="363">
        <v>1.42</v>
      </c>
      <c r="AH56" s="363">
        <v>1.42</v>
      </c>
      <c r="AI56" s="363">
        <v>1.42</v>
      </c>
      <c r="AJ56" s="363">
        <v>1.42</v>
      </c>
      <c r="AK56" s="363">
        <v>1.42</v>
      </c>
      <c r="AL56" s="363">
        <v>1.42</v>
      </c>
      <c r="AM56" s="363">
        <v>1.42</v>
      </c>
      <c r="AN56" s="363">
        <v>1.42</v>
      </c>
      <c r="AO56" s="363">
        <v>1.42</v>
      </c>
      <c r="AP56" s="363">
        <v>1.42</v>
      </c>
      <c r="AQ56" s="363">
        <v>1.42</v>
      </c>
      <c r="AR56" s="363">
        <v>1.42</v>
      </c>
      <c r="AS56" s="363">
        <v>1.42</v>
      </c>
      <c r="AT56" s="363">
        <v>1.42</v>
      </c>
      <c r="AU56" s="363">
        <v>1.42</v>
      </c>
      <c r="AV56" s="363">
        <v>1.42</v>
      </c>
      <c r="AW56" s="363">
        <v>1.42</v>
      </c>
      <c r="AX56" s="363">
        <v>1.42</v>
      </c>
      <c r="AY56" s="363">
        <v>1.42</v>
      </c>
      <c r="AZ56" s="363">
        <v>1.42</v>
      </c>
      <c r="BA56" s="363">
        <v>1.42</v>
      </c>
      <c r="BB56" s="363">
        <v>1.42</v>
      </c>
      <c r="BC56" s="363">
        <v>1.42</v>
      </c>
      <c r="BD56" s="363">
        <v>1.42</v>
      </c>
      <c r="BE56" s="363">
        <v>1.42</v>
      </c>
      <c r="BF56" s="363">
        <v>1.42</v>
      </c>
      <c r="BG56" s="363">
        <v>1.42</v>
      </c>
      <c r="BH56" s="363">
        <v>1.42</v>
      </c>
      <c r="BI56" s="363">
        <v>1.42</v>
      </c>
      <c r="BJ56" s="363">
        <v>1.42</v>
      </c>
      <c r="BK56" s="363">
        <v>1.42</v>
      </c>
      <c r="BL56" s="363">
        <v>1.42</v>
      </c>
      <c r="BM56" s="363">
        <v>1.42</v>
      </c>
      <c r="BN56" s="363">
        <v>1.42</v>
      </c>
      <c r="BO56" s="363">
        <v>1.42</v>
      </c>
      <c r="BP56" s="363">
        <v>1.42</v>
      </c>
      <c r="BQ56" s="363">
        <v>1.42</v>
      </c>
      <c r="BR56" s="363">
        <v>1.42</v>
      </c>
      <c r="BS56" s="363">
        <v>1.42</v>
      </c>
      <c r="BT56" s="363">
        <v>1.42</v>
      </c>
      <c r="BU56" s="363">
        <v>1.42</v>
      </c>
      <c r="BV56" s="363">
        <v>1.42</v>
      </c>
      <c r="BW56" s="363">
        <v>1.42</v>
      </c>
      <c r="BX56" s="363">
        <v>1.42</v>
      </c>
      <c r="BY56" s="363">
        <v>1.42</v>
      </c>
      <c r="BZ56" s="363">
        <v>1.42</v>
      </c>
      <c r="CA56" s="363">
        <v>1.42</v>
      </c>
      <c r="CB56" s="363">
        <v>1.42</v>
      </c>
      <c r="CC56" s="363">
        <v>1.42</v>
      </c>
      <c r="CD56" s="363">
        <v>1.42</v>
      </c>
      <c r="CE56" s="363">
        <v>1.42</v>
      </c>
      <c r="CF56" s="363">
        <v>1.42</v>
      </c>
      <c r="CG56" s="363">
        <v>1.42</v>
      </c>
      <c r="CH56" s="363">
        <v>1.42</v>
      </c>
      <c r="CI56" s="363">
        <v>1.42</v>
      </c>
      <c r="CJ56" s="363">
        <v>1.42</v>
      </c>
      <c r="CK56" s="363">
        <v>1.42</v>
      </c>
      <c r="CL56" s="363">
        <v>1.42</v>
      </c>
      <c r="CM56" s="363">
        <v>1.42</v>
      </c>
      <c r="CN56" s="363">
        <v>1.42</v>
      </c>
    </row>
    <row r="57" spans="2:92" ht="28" x14ac:dyDescent="0.35">
      <c r="B57" s="1252" t="s">
        <v>1301</v>
      </c>
      <c r="C57" s="1248" t="s">
        <v>1254</v>
      </c>
      <c r="D57" s="1248" t="s">
        <v>1253</v>
      </c>
      <c r="E57" s="1249" t="s">
        <v>1255</v>
      </c>
      <c r="F57" s="1247" t="s">
        <v>1214</v>
      </c>
      <c r="G57" s="1248" t="s">
        <v>852</v>
      </c>
      <c r="H57" s="1248" t="s">
        <v>1523</v>
      </c>
      <c r="I57" s="1250" t="s">
        <v>85</v>
      </c>
      <c r="J57" s="1250" t="s">
        <v>305</v>
      </c>
      <c r="K57" s="1253">
        <v>2</v>
      </c>
      <c r="L57" s="1251"/>
      <c r="M57" s="1581"/>
      <c r="N57" s="1581"/>
      <c r="O57" s="1581"/>
      <c r="P57" s="1581"/>
      <c r="Q57" s="1363"/>
      <c r="R57" s="1364">
        <v>0.06</v>
      </c>
      <c r="S57" s="1364">
        <v>0.12</v>
      </c>
      <c r="T57" s="1364">
        <v>0.18</v>
      </c>
      <c r="U57" s="1364">
        <v>0.24</v>
      </c>
      <c r="V57" s="1364">
        <v>0.3</v>
      </c>
      <c r="W57" s="1364">
        <v>0.36</v>
      </c>
      <c r="X57" s="1364">
        <v>0.42</v>
      </c>
      <c r="Y57" s="1364">
        <v>0.48</v>
      </c>
      <c r="Z57" s="1364">
        <v>0.54</v>
      </c>
      <c r="AA57" s="1364">
        <v>0.6</v>
      </c>
      <c r="AB57" s="1364">
        <v>0.61199999999999999</v>
      </c>
      <c r="AC57" s="1364">
        <v>0.624</v>
      </c>
      <c r="AD57" s="1364">
        <v>0.63600000000000001</v>
      </c>
      <c r="AE57" s="1364">
        <v>0.64800000000000002</v>
      </c>
      <c r="AF57" s="1364">
        <v>0.65999999999999992</v>
      </c>
      <c r="AG57" s="1364">
        <v>0.65999999999999992</v>
      </c>
      <c r="AH57" s="1364">
        <v>0.65999999999999992</v>
      </c>
      <c r="AI57" s="1364">
        <v>0.65999999999999992</v>
      </c>
      <c r="AJ57" s="1364">
        <v>0.65999999999999992</v>
      </c>
      <c r="AK57" s="1364">
        <v>0.65999999999999992</v>
      </c>
      <c r="AL57" s="1364">
        <v>0.65999999999999992</v>
      </c>
      <c r="AM57" s="1364">
        <v>0.65999999999999992</v>
      </c>
      <c r="AN57" s="1364">
        <v>0.65999999999999992</v>
      </c>
      <c r="AO57" s="1364">
        <v>0.65999999999999992</v>
      </c>
      <c r="AP57" s="1364">
        <v>0.65999999999999992</v>
      </c>
      <c r="AQ57" s="1364">
        <v>0.65999999999999992</v>
      </c>
      <c r="AR57" s="1364">
        <v>0.65999999999999992</v>
      </c>
      <c r="AS57" s="1364">
        <v>0.65999999999999992</v>
      </c>
      <c r="AT57" s="1364">
        <v>0.65999999999999992</v>
      </c>
      <c r="AU57" s="1364">
        <v>0.65999999999999992</v>
      </c>
      <c r="AV57" s="1364">
        <v>0.65999999999999992</v>
      </c>
      <c r="AW57" s="1364">
        <v>0.65999999999999992</v>
      </c>
      <c r="AX57" s="1364">
        <v>0.65999999999999992</v>
      </c>
      <c r="AY57" s="1364">
        <v>0.65999999999999992</v>
      </c>
      <c r="AZ57" s="1364">
        <v>0.65999999999999992</v>
      </c>
      <c r="BA57" s="1364">
        <v>0.65999999999999992</v>
      </c>
      <c r="BB57" s="1364">
        <v>0.65999999999999992</v>
      </c>
      <c r="BC57" s="1364">
        <v>0.65999999999999992</v>
      </c>
      <c r="BD57" s="1364">
        <v>0.65999999999999992</v>
      </c>
      <c r="BE57" s="1364">
        <v>0.65999999999999992</v>
      </c>
      <c r="BF57" s="1364">
        <v>0.65999999999999992</v>
      </c>
      <c r="BG57" s="1364">
        <v>0.65999999999999992</v>
      </c>
      <c r="BH57" s="1364">
        <v>0.65999999999999992</v>
      </c>
      <c r="BI57" s="1364">
        <v>0.65999999999999992</v>
      </c>
      <c r="BJ57" s="1364">
        <v>0.65999999999999992</v>
      </c>
      <c r="BK57" s="1364">
        <v>0.65999999999999992</v>
      </c>
      <c r="BL57" s="1364">
        <v>0.65999999999999992</v>
      </c>
      <c r="BM57" s="1364">
        <v>0.65999999999999992</v>
      </c>
      <c r="BN57" s="1364">
        <v>0.65999999999999992</v>
      </c>
      <c r="BO57" s="1364">
        <v>0.65999999999999992</v>
      </c>
      <c r="BP57" s="1364">
        <v>0.65999999999999992</v>
      </c>
      <c r="BQ57" s="1364">
        <v>0.65999999999999992</v>
      </c>
      <c r="BR57" s="1364">
        <v>0.65999999999999992</v>
      </c>
      <c r="BS57" s="1364">
        <v>0.65999999999999992</v>
      </c>
      <c r="BT57" s="1364">
        <v>0.65999999999999992</v>
      </c>
      <c r="BU57" s="1364">
        <v>0.65999999999999992</v>
      </c>
      <c r="BV57" s="1364">
        <v>0.65999999999999992</v>
      </c>
      <c r="BW57" s="1364">
        <v>0.65999999999999992</v>
      </c>
      <c r="BX57" s="1364">
        <v>0.65999999999999992</v>
      </c>
      <c r="BY57" s="1364">
        <v>0.65999999999999992</v>
      </c>
      <c r="BZ57" s="1364">
        <v>0.65999999999999992</v>
      </c>
      <c r="CA57" s="1364">
        <v>0.65999999999999992</v>
      </c>
      <c r="CB57" s="1364">
        <v>0.65999999999999992</v>
      </c>
      <c r="CC57" s="1364">
        <v>0.65999999999999992</v>
      </c>
      <c r="CD57" s="1364">
        <v>0.65999999999999992</v>
      </c>
      <c r="CE57" s="1364">
        <v>0.65999999999999992</v>
      </c>
      <c r="CF57" s="1364">
        <v>0.65999999999999992</v>
      </c>
      <c r="CG57" s="1364">
        <v>0.65999999999999992</v>
      </c>
      <c r="CH57" s="1364">
        <v>0.65999999999999992</v>
      </c>
      <c r="CI57" s="1364">
        <v>0.65999999999999992</v>
      </c>
      <c r="CJ57" s="1364">
        <v>0.65999999999999992</v>
      </c>
      <c r="CK57" s="1364">
        <v>0.65999999999999992</v>
      </c>
      <c r="CL57" s="1364">
        <v>0.65999999999999992</v>
      </c>
      <c r="CM57" s="1364">
        <v>0.65999999999999992</v>
      </c>
      <c r="CN57" s="1364">
        <v>0.65999999999999992</v>
      </c>
    </row>
    <row r="58" spans="2:92" ht="28" x14ac:dyDescent="0.35">
      <c r="B58" s="1252" t="s">
        <v>1301</v>
      </c>
      <c r="C58" s="1248" t="s">
        <v>1257</v>
      </c>
      <c r="D58" s="1248" t="s">
        <v>1256</v>
      </c>
      <c r="E58" s="1249" t="s">
        <v>1255</v>
      </c>
      <c r="F58" s="1247" t="s">
        <v>1214</v>
      </c>
      <c r="G58" s="1248" t="s">
        <v>852</v>
      </c>
      <c r="H58" s="1248" t="s">
        <v>1523</v>
      </c>
      <c r="I58" s="1250" t="s">
        <v>85</v>
      </c>
      <c r="J58" s="1250" t="s">
        <v>305</v>
      </c>
      <c r="K58" s="1253">
        <v>2</v>
      </c>
      <c r="L58" s="1251"/>
      <c r="M58" s="1581"/>
      <c r="N58" s="1581"/>
      <c r="O58" s="1581"/>
      <c r="P58" s="1581"/>
      <c r="Q58" s="1363"/>
      <c r="R58" s="1364">
        <v>0.06</v>
      </c>
      <c r="S58" s="1364">
        <v>0.12</v>
      </c>
      <c r="T58" s="1364">
        <v>0.18</v>
      </c>
      <c r="U58" s="1364">
        <v>0.24</v>
      </c>
      <c r="V58" s="1364">
        <v>0.3</v>
      </c>
      <c r="W58" s="1364">
        <v>0.312</v>
      </c>
      <c r="X58" s="1364">
        <v>0.32400000000000001</v>
      </c>
      <c r="Y58" s="1364">
        <v>0.33599999999999997</v>
      </c>
      <c r="Z58" s="1364">
        <v>0.34799999999999998</v>
      </c>
      <c r="AA58" s="1364">
        <v>0.36</v>
      </c>
      <c r="AB58" s="1364">
        <v>0.42</v>
      </c>
      <c r="AC58" s="1364">
        <v>0.48</v>
      </c>
      <c r="AD58" s="1364">
        <v>0.54</v>
      </c>
      <c r="AE58" s="1364">
        <v>0.6</v>
      </c>
      <c r="AF58" s="1364">
        <v>0.65999999999999992</v>
      </c>
      <c r="AG58" s="1364">
        <v>0.65999999999999992</v>
      </c>
      <c r="AH58" s="1364">
        <v>0.65999999999999992</v>
      </c>
      <c r="AI58" s="1364">
        <v>0.65999999999999992</v>
      </c>
      <c r="AJ58" s="1364">
        <v>0.65999999999999992</v>
      </c>
      <c r="AK58" s="1364">
        <v>0.65999999999999992</v>
      </c>
      <c r="AL58" s="1364">
        <v>0.65999999999999992</v>
      </c>
      <c r="AM58" s="1364">
        <v>0.65999999999999992</v>
      </c>
      <c r="AN58" s="1364">
        <v>0.65999999999999992</v>
      </c>
      <c r="AO58" s="1364">
        <v>0.65999999999999992</v>
      </c>
      <c r="AP58" s="1364">
        <v>0.65999999999999992</v>
      </c>
      <c r="AQ58" s="1364">
        <v>0.65999999999999992</v>
      </c>
      <c r="AR58" s="1364">
        <v>0.65999999999999992</v>
      </c>
      <c r="AS58" s="1364">
        <v>0.65999999999999992</v>
      </c>
      <c r="AT58" s="1364">
        <v>0.65999999999999992</v>
      </c>
      <c r="AU58" s="1364">
        <v>0.65999999999999992</v>
      </c>
      <c r="AV58" s="1364">
        <v>0.65999999999999992</v>
      </c>
      <c r="AW58" s="1364">
        <v>0.65999999999999992</v>
      </c>
      <c r="AX58" s="1364">
        <v>0.65999999999999992</v>
      </c>
      <c r="AY58" s="1364">
        <v>0.65999999999999992</v>
      </c>
      <c r="AZ58" s="1364">
        <v>0.65999999999999992</v>
      </c>
      <c r="BA58" s="1364">
        <v>0.65999999999999992</v>
      </c>
      <c r="BB58" s="1364">
        <v>0.65999999999999992</v>
      </c>
      <c r="BC58" s="1364">
        <v>0.65999999999999992</v>
      </c>
      <c r="BD58" s="1364">
        <v>0.65999999999999992</v>
      </c>
      <c r="BE58" s="1364">
        <v>0.65999999999999992</v>
      </c>
      <c r="BF58" s="1364">
        <v>0.65999999999999992</v>
      </c>
      <c r="BG58" s="1364">
        <v>0.65999999999999992</v>
      </c>
      <c r="BH58" s="1364">
        <v>0.65999999999999992</v>
      </c>
      <c r="BI58" s="1364">
        <v>0.65999999999999992</v>
      </c>
      <c r="BJ58" s="1364">
        <v>0.65999999999999992</v>
      </c>
      <c r="BK58" s="1364">
        <v>0.65999999999999992</v>
      </c>
      <c r="BL58" s="1364">
        <v>0.65999999999999992</v>
      </c>
      <c r="BM58" s="1364">
        <v>0.65999999999999992</v>
      </c>
      <c r="BN58" s="1364">
        <v>0.65999999999999992</v>
      </c>
      <c r="BO58" s="1364">
        <v>0.65999999999999992</v>
      </c>
      <c r="BP58" s="1364">
        <v>0.65999999999999992</v>
      </c>
      <c r="BQ58" s="1364">
        <v>0.65999999999999992</v>
      </c>
      <c r="BR58" s="1364">
        <v>0.65999999999999992</v>
      </c>
      <c r="BS58" s="1364">
        <v>0.65999999999999992</v>
      </c>
      <c r="BT58" s="1364">
        <v>0.65999999999999992</v>
      </c>
      <c r="BU58" s="1364">
        <v>0.65999999999999992</v>
      </c>
      <c r="BV58" s="1364">
        <v>0.65999999999999992</v>
      </c>
      <c r="BW58" s="1364">
        <v>0.65999999999999992</v>
      </c>
      <c r="BX58" s="1364">
        <v>0.65999999999999992</v>
      </c>
      <c r="BY58" s="1364">
        <v>0.65999999999999992</v>
      </c>
      <c r="BZ58" s="1364">
        <v>0.65999999999999992</v>
      </c>
      <c r="CA58" s="1364">
        <v>0.65999999999999992</v>
      </c>
      <c r="CB58" s="1364">
        <v>0.65999999999999992</v>
      </c>
      <c r="CC58" s="1364">
        <v>0.65999999999999992</v>
      </c>
      <c r="CD58" s="1364">
        <v>0.65999999999999992</v>
      </c>
      <c r="CE58" s="1364">
        <v>0.65999999999999992</v>
      </c>
      <c r="CF58" s="1364">
        <v>0.65999999999999992</v>
      </c>
      <c r="CG58" s="1364">
        <v>0.65999999999999992</v>
      </c>
      <c r="CH58" s="1364">
        <v>0.65999999999999992</v>
      </c>
      <c r="CI58" s="1364">
        <v>0.65999999999999992</v>
      </c>
      <c r="CJ58" s="1364">
        <v>0.65999999999999992</v>
      </c>
      <c r="CK58" s="1364">
        <v>0.65999999999999992</v>
      </c>
      <c r="CL58" s="1364">
        <v>0.65999999999999992</v>
      </c>
      <c r="CM58" s="1364">
        <v>0.65999999999999992</v>
      </c>
      <c r="CN58" s="1364">
        <v>0.65999999999999992</v>
      </c>
    </row>
    <row r="59" spans="2:92" ht="42" x14ac:dyDescent="0.35">
      <c r="B59" s="1252" t="s">
        <v>2154</v>
      </c>
      <c r="C59" s="1248" t="s">
        <v>2191</v>
      </c>
      <c r="D59" s="1248" t="s">
        <v>1258</v>
      </c>
      <c r="E59" s="1249" t="s">
        <v>1260</v>
      </c>
      <c r="F59" s="1247" t="s">
        <v>1088</v>
      </c>
      <c r="G59" s="1248" t="s">
        <v>852</v>
      </c>
      <c r="H59" s="1248" t="s">
        <v>1523</v>
      </c>
      <c r="I59" s="1250" t="s">
        <v>85</v>
      </c>
      <c r="J59" s="1250" t="s">
        <v>305</v>
      </c>
      <c r="K59" s="1253">
        <v>2</v>
      </c>
      <c r="L59" s="1251"/>
      <c r="M59" s="1581"/>
      <c r="N59" s="1581"/>
      <c r="O59" s="1581"/>
      <c r="P59" s="1581"/>
      <c r="Q59" s="1363"/>
      <c r="R59" s="1364">
        <v>4.2000000000000003E-2</v>
      </c>
      <c r="S59" s="1364">
        <v>8.4000000000000005E-2</v>
      </c>
      <c r="T59" s="1364">
        <v>0.126</v>
      </c>
      <c r="U59" s="1364">
        <v>0.16800000000000001</v>
      </c>
      <c r="V59" s="1364">
        <v>0.21000000000000002</v>
      </c>
      <c r="W59" s="363">
        <v>0.252</v>
      </c>
      <c r="X59" s="363">
        <v>0.29399999999999998</v>
      </c>
      <c r="Y59" s="363">
        <v>0.33599999999999997</v>
      </c>
      <c r="Z59" s="363">
        <v>0.378</v>
      </c>
      <c r="AA59" s="363">
        <v>0.42000000000000004</v>
      </c>
      <c r="AB59" s="363">
        <v>0.42000000000000004</v>
      </c>
      <c r="AC59" s="363">
        <v>0.42000000000000004</v>
      </c>
      <c r="AD59" s="363">
        <v>0.42000000000000004</v>
      </c>
      <c r="AE59" s="363">
        <v>0.42000000000000004</v>
      </c>
      <c r="AF59" s="363">
        <v>0.42000000000000004</v>
      </c>
      <c r="AG59" s="363">
        <v>0.42000000000000004</v>
      </c>
      <c r="AH59" s="363">
        <v>0.42000000000000004</v>
      </c>
      <c r="AI59" s="363">
        <v>0.42000000000000004</v>
      </c>
      <c r="AJ59" s="363">
        <v>0.42000000000000004</v>
      </c>
      <c r="AK59" s="363">
        <v>0.42000000000000004</v>
      </c>
      <c r="AL59" s="363">
        <v>0.42000000000000004</v>
      </c>
      <c r="AM59" s="363">
        <v>0.42000000000000004</v>
      </c>
      <c r="AN59" s="363">
        <v>0.42000000000000004</v>
      </c>
      <c r="AO59" s="363">
        <v>0.42000000000000004</v>
      </c>
      <c r="AP59" s="363">
        <v>0.42000000000000004</v>
      </c>
      <c r="AQ59" s="363">
        <v>0.42000000000000004</v>
      </c>
      <c r="AR59" s="363">
        <v>0.42000000000000004</v>
      </c>
      <c r="AS59" s="363">
        <v>0.42000000000000004</v>
      </c>
      <c r="AT59" s="363">
        <v>0.42000000000000004</v>
      </c>
      <c r="AU59" s="363">
        <v>0.42000000000000004</v>
      </c>
      <c r="AV59" s="363">
        <v>0.42000000000000004</v>
      </c>
      <c r="AW59" s="363">
        <v>0.42000000000000004</v>
      </c>
      <c r="AX59" s="363">
        <v>0.42000000000000004</v>
      </c>
      <c r="AY59" s="363">
        <v>0.42000000000000004</v>
      </c>
      <c r="AZ59" s="363">
        <v>0.42000000000000004</v>
      </c>
      <c r="BA59" s="363">
        <v>0.42000000000000004</v>
      </c>
      <c r="BB59" s="363">
        <v>0.42000000000000004</v>
      </c>
      <c r="BC59" s="363">
        <v>0.42000000000000004</v>
      </c>
      <c r="BD59" s="363">
        <v>0.42000000000000004</v>
      </c>
      <c r="BE59" s="363">
        <v>0.42000000000000004</v>
      </c>
      <c r="BF59" s="363">
        <v>0.42000000000000004</v>
      </c>
      <c r="BG59" s="363">
        <v>0.42000000000000004</v>
      </c>
      <c r="BH59" s="363">
        <v>0.42000000000000004</v>
      </c>
      <c r="BI59" s="363">
        <v>0.42000000000000004</v>
      </c>
      <c r="BJ59" s="363">
        <v>0.42000000000000004</v>
      </c>
      <c r="BK59" s="363">
        <v>0.42000000000000004</v>
      </c>
      <c r="BL59" s="363">
        <v>0.42000000000000004</v>
      </c>
      <c r="BM59" s="363">
        <v>0.42000000000000004</v>
      </c>
      <c r="BN59" s="363">
        <v>0.42000000000000004</v>
      </c>
      <c r="BO59" s="363">
        <v>0.42000000000000004</v>
      </c>
      <c r="BP59" s="363">
        <v>0.42000000000000004</v>
      </c>
      <c r="BQ59" s="363">
        <v>0.42000000000000004</v>
      </c>
      <c r="BR59" s="363">
        <v>0.42000000000000004</v>
      </c>
      <c r="BS59" s="363">
        <v>0.42000000000000004</v>
      </c>
      <c r="BT59" s="363">
        <v>0.42000000000000004</v>
      </c>
      <c r="BU59" s="363">
        <v>0.42000000000000004</v>
      </c>
      <c r="BV59" s="363">
        <v>0.42000000000000004</v>
      </c>
      <c r="BW59" s="363">
        <v>0.42000000000000004</v>
      </c>
      <c r="BX59" s="363">
        <v>0.42000000000000004</v>
      </c>
      <c r="BY59" s="363">
        <v>0.42000000000000004</v>
      </c>
      <c r="BZ59" s="363">
        <v>0.42000000000000004</v>
      </c>
      <c r="CA59" s="363">
        <v>0.42000000000000004</v>
      </c>
      <c r="CB59" s="363">
        <v>0.42000000000000004</v>
      </c>
      <c r="CC59" s="363">
        <v>0.42000000000000004</v>
      </c>
      <c r="CD59" s="363">
        <v>0.42000000000000004</v>
      </c>
      <c r="CE59" s="363">
        <v>0.42000000000000004</v>
      </c>
      <c r="CF59" s="363">
        <v>0.42000000000000004</v>
      </c>
      <c r="CG59" s="363">
        <v>0.42000000000000004</v>
      </c>
      <c r="CH59" s="363">
        <v>0.42000000000000004</v>
      </c>
      <c r="CI59" s="363">
        <v>0.42000000000000004</v>
      </c>
      <c r="CJ59" s="363">
        <v>0.42000000000000004</v>
      </c>
      <c r="CK59" s="363">
        <v>0.42000000000000004</v>
      </c>
      <c r="CL59" s="363">
        <v>0.42000000000000004</v>
      </c>
      <c r="CM59" s="363">
        <v>0.42000000000000004</v>
      </c>
      <c r="CN59" s="363">
        <v>0.42000000000000004</v>
      </c>
    </row>
    <row r="60" spans="2:92" ht="28" x14ac:dyDescent="0.35">
      <c r="B60" s="1252" t="s">
        <v>1301</v>
      </c>
      <c r="C60" s="1248" t="s">
        <v>1262</v>
      </c>
      <c r="D60" s="1248" t="s">
        <v>1261</v>
      </c>
      <c r="E60" s="1249" t="s">
        <v>1263</v>
      </c>
      <c r="F60" s="1247" t="s">
        <v>1214</v>
      </c>
      <c r="G60" s="1248" t="s">
        <v>852</v>
      </c>
      <c r="H60" s="1248" t="s">
        <v>1523</v>
      </c>
      <c r="I60" s="1250" t="s">
        <v>85</v>
      </c>
      <c r="J60" s="1250" t="s">
        <v>305</v>
      </c>
      <c r="K60" s="1253">
        <v>2</v>
      </c>
      <c r="L60" s="1251"/>
      <c r="M60" s="1581"/>
      <c r="N60" s="1581"/>
      <c r="O60" s="1581"/>
      <c r="P60" s="1581"/>
      <c r="Q60" s="1363"/>
      <c r="R60" s="1364">
        <v>0</v>
      </c>
      <c r="S60" s="363">
        <v>0</v>
      </c>
      <c r="T60" s="363">
        <v>0</v>
      </c>
      <c r="U60" s="363">
        <v>0</v>
      </c>
      <c r="V60" s="363">
        <v>0</v>
      </c>
      <c r="W60" s="363">
        <v>0</v>
      </c>
      <c r="X60" s="363">
        <v>0</v>
      </c>
      <c r="Y60" s="363">
        <v>0</v>
      </c>
      <c r="Z60" s="363">
        <v>0</v>
      </c>
      <c r="AA60" s="363">
        <v>0</v>
      </c>
      <c r="AB60" s="363">
        <v>0.53</v>
      </c>
      <c r="AC60" s="363">
        <v>1.06</v>
      </c>
      <c r="AD60" s="363">
        <v>1.59</v>
      </c>
      <c r="AE60" s="363">
        <v>2.12</v>
      </c>
      <c r="AF60" s="363">
        <v>2.6500000000000004</v>
      </c>
      <c r="AG60" s="363">
        <v>2.8200000000000003</v>
      </c>
      <c r="AH60" s="363">
        <v>2.99</v>
      </c>
      <c r="AI60" s="363">
        <v>3.16</v>
      </c>
      <c r="AJ60" s="363">
        <v>3.3300000000000005</v>
      </c>
      <c r="AK60" s="363">
        <v>3.5000000000000004</v>
      </c>
      <c r="AL60" s="363">
        <v>3.5000000000000004</v>
      </c>
      <c r="AM60" s="363">
        <v>3.5000000000000004</v>
      </c>
      <c r="AN60" s="363">
        <v>3.5000000000000004</v>
      </c>
      <c r="AO60" s="363">
        <v>3.5000000000000004</v>
      </c>
      <c r="AP60" s="363">
        <v>3.5000000000000004</v>
      </c>
      <c r="AQ60" s="363">
        <v>3.5000000000000004</v>
      </c>
      <c r="AR60" s="363">
        <v>3.5000000000000004</v>
      </c>
      <c r="AS60" s="363">
        <v>3.5000000000000004</v>
      </c>
      <c r="AT60" s="363">
        <v>3.5000000000000004</v>
      </c>
      <c r="AU60" s="363">
        <v>3.5000000000000004</v>
      </c>
      <c r="AV60" s="363">
        <v>3.5000000000000004</v>
      </c>
      <c r="AW60" s="363">
        <v>3.5000000000000004</v>
      </c>
      <c r="AX60" s="363">
        <v>3.5000000000000004</v>
      </c>
      <c r="AY60" s="363">
        <v>3.5000000000000004</v>
      </c>
      <c r="AZ60" s="363">
        <v>3.5000000000000004</v>
      </c>
      <c r="BA60" s="363">
        <v>3.5000000000000004</v>
      </c>
      <c r="BB60" s="363">
        <v>3.5000000000000004</v>
      </c>
      <c r="BC60" s="363">
        <v>3.5000000000000004</v>
      </c>
      <c r="BD60" s="363">
        <v>3.5000000000000004</v>
      </c>
      <c r="BE60" s="363">
        <v>3.5000000000000004</v>
      </c>
      <c r="BF60" s="363">
        <v>3.5000000000000004</v>
      </c>
      <c r="BG60" s="363">
        <v>3.5000000000000004</v>
      </c>
      <c r="BH60" s="363">
        <v>3.5000000000000004</v>
      </c>
      <c r="BI60" s="363">
        <v>3.5000000000000004</v>
      </c>
      <c r="BJ60" s="363">
        <v>3.5000000000000004</v>
      </c>
      <c r="BK60" s="363">
        <v>3.5000000000000004</v>
      </c>
      <c r="BL60" s="363">
        <v>3.5000000000000004</v>
      </c>
      <c r="BM60" s="363">
        <v>3.5000000000000004</v>
      </c>
      <c r="BN60" s="363">
        <v>3.5000000000000004</v>
      </c>
      <c r="BO60" s="363">
        <v>3.5000000000000004</v>
      </c>
      <c r="BP60" s="363">
        <v>3.5000000000000004</v>
      </c>
      <c r="BQ60" s="363">
        <v>3.5000000000000004</v>
      </c>
      <c r="BR60" s="363">
        <v>3.5000000000000004</v>
      </c>
      <c r="BS60" s="363">
        <v>3.5000000000000004</v>
      </c>
      <c r="BT60" s="363">
        <v>3.5000000000000004</v>
      </c>
      <c r="BU60" s="363">
        <v>3.5000000000000004</v>
      </c>
      <c r="BV60" s="363">
        <v>3.5000000000000004</v>
      </c>
      <c r="BW60" s="363">
        <v>3.5000000000000004</v>
      </c>
      <c r="BX60" s="363">
        <v>3.5000000000000004</v>
      </c>
      <c r="BY60" s="363">
        <v>3.5000000000000004</v>
      </c>
      <c r="BZ60" s="363">
        <v>3.5000000000000004</v>
      </c>
      <c r="CA60" s="363">
        <v>3.5000000000000004</v>
      </c>
      <c r="CB60" s="363">
        <v>3.5000000000000004</v>
      </c>
      <c r="CC60" s="363">
        <v>3.5000000000000004</v>
      </c>
      <c r="CD60" s="363">
        <v>3.5000000000000004</v>
      </c>
      <c r="CE60" s="363">
        <v>3.5000000000000004</v>
      </c>
      <c r="CF60" s="363">
        <v>3.5000000000000004</v>
      </c>
      <c r="CG60" s="363">
        <v>3.5000000000000004</v>
      </c>
      <c r="CH60" s="363">
        <v>3.5000000000000004</v>
      </c>
      <c r="CI60" s="363">
        <v>3.5000000000000004</v>
      </c>
      <c r="CJ60" s="363">
        <v>3.5000000000000004</v>
      </c>
      <c r="CK60" s="363">
        <v>3.5000000000000004</v>
      </c>
      <c r="CL60" s="363">
        <v>3.5000000000000004</v>
      </c>
      <c r="CM60" s="363">
        <v>3.5000000000000004</v>
      </c>
      <c r="CN60" s="363">
        <v>3.5000000000000004</v>
      </c>
    </row>
    <row r="61" spans="2:92" ht="42" x14ac:dyDescent="0.35">
      <c r="B61" s="1252" t="s">
        <v>1301</v>
      </c>
      <c r="C61" s="1248" t="s">
        <v>1265</v>
      </c>
      <c r="D61" s="1248" t="s">
        <v>1264</v>
      </c>
      <c r="E61" s="1249" t="s">
        <v>1266</v>
      </c>
      <c r="F61" s="1247" t="s">
        <v>1214</v>
      </c>
      <c r="G61" s="1248" t="s">
        <v>852</v>
      </c>
      <c r="H61" s="1248" t="s">
        <v>1523</v>
      </c>
      <c r="I61" s="1250" t="s">
        <v>85</v>
      </c>
      <c r="J61" s="1250" t="s">
        <v>305</v>
      </c>
      <c r="K61" s="1253">
        <v>2</v>
      </c>
      <c r="L61" s="1251"/>
      <c r="M61" s="1581"/>
      <c r="N61" s="1581"/>
      <c r="O61" s="1581"/>
      <c r="P61" s="1581"/>
      <c r="Q61" s="1363"/>
      <c r="R61" s="1364">
        <v>0</v>
      </c>
      <c r="S61" s="363">
        <v>0</v>
      </c>
      <c r="T61" s="363">
        <v>0</v>
      </c>
      <c r="U61" s="363">
        <v>0</v>
      </c>
      <c r="V61" s="363">
        <v>0</v>
      </c>
      <c r="W61" s="1365">
        <v>0</v>
      </c>
      <c r="X61" s="1365">
        <v>0</v>
      </c>
      <c r="Y61" s="1365">
        <v>0</v>
      </c>
      <c r="Z61" s="1365">
        <v>0</v>
      </c>
      <c r="AA61" s="1365">
        <v>0</v>
      </c>
      <c r="AB61" s="1365">
        <v>0.06</v>
      </c>
      <c r="AC61" s="1365">
        <v>0.12</v>
      </c>
      <c r="AD61" s="1365">
        <v>0.18</v>
      </c>
      <c r="AE61" s="1365">
        <v>0.24</v>
      </c>
      <c r="AF61" s="1365">
        <v>0.3</v>
      </c>
      <c r="AG61" s="1365">
        <v>0.36</v>
      </c>
      <c r="AH61" s="1365">
        <v>0.42</v>
      </c>
      <c r="AI61" s="1365">
        <v>0.48</v>
      </c>
      <c r="AJ61" s="1365">
        <v>0.54</v>
      </c>
      <c r="AK61" s="1365">
        <v>0.6</v>
      </c>
      <c r="AL61" s="1365">
        <v>0.61199999999999999</v>
      </c>
      <c r="AM61" s="1365">
        <v>0.624</v>
      </c>
      <c r="AN61" s="1365">
        <v>0.63600000000000001</v>
      </c>
      <c r="AO61" s="1365">
        <v>0.64800000000000002</v>
      </c>
      <c r="AP61" s="1365">
        <v>0.65999999999999992</v>
      </c>
      <c r="AQ61" s="1365">
        <v>0.65999999999999992</v>
      </c>
      <c r="AR61" s="1365">
        <v>0.65999999999999992</v>
      </c>
      <c r="AS61" s="1365">
        <v>0.65999999999999992</v>
      </c>
      <c r="AT61" s="1365">
        <v>0.65999999999999992</v>
      </c>
      <c r="AU61" s="1365">
        <v>0.65999999999999992</v>
      </c>
      <c r="AV61" s="1365">
        <v>0.65999999999999992</v>
      </c>
      <c r="AW61" s="1365">
        <v>0.65999999999999992</v>
      </c>
      <c r="AX61" s="1365">
        <v>0.65999999999999992</v>
      </c>
      <c r="AY61" s="1365">
        <v>0.65999999999999992</v>
      </c>
      <c r="AZ61" s="1365">
        <v>0.65999999999999992</v>
      </c>
      <c r="BA61" s="1365">
        <v>0.65999999999999992</v>
      </c>
      <c r="BB61" s="1365">
        <v>0.65999999999999992</v>
      </c>
      <c r="BC61" s="1365">
        <v>0.65999999999999992</v>
      </c>
      <c r="BD61" s="1365">
        <v>0.65999999999999992</v>
      </c>
      <c r="BE61" s="1365">
        <v>0.65999999999999992</v>
      </c>
      <c r="BF61" s="1365">
        <v>0.65999999999999992</v>
      </c>
      <c r="BG61" s="1365">
        <v>0.65999999999999992</v>
      </c>
      <c r="BH61" s="1365">
        <v>0.65999999999999992</v>
      </c>
      <c r="BI61" s="1365">
        <v>0.65999999999999992</v>
      </c>
      <c r="BJ61" s="1365">
        <v>0.65999999999999992</v>
      </c>
      <c r="BK61" s="1365">
        <v>0.65999999999999992</v>
      </c>
      <c r="BL61" s="1365">
        <v>0.65999999999999992</v>
      </c>
      <c r="BM61" s="1365">
        <v>0.65999999999999992</v>
      </c>
      <c r="BN61" s="1365">
        <v>0.65999999999999992</v>
      </c>
      <c r="BO61" s="1365">
        <v>0.65999999999999992</v>
      </c>
      <c r="BP61" s="1365">
        <v>0.65999999999999992</v>
      </c>
      <c r="BQ61" s="1365">
        <v>0.65999999999999992</v>
      </c>
      <c r="BR61" s="1365">
        <v>0.65999999999999992</v>
      </c>
      <c r="BS61" s="1365">
        <v>0.65999999999999992</v>
      </c>
      <c r="BT61" s="1365">
        <v>0.65999999999999992</v>
      </c>
      <c r="BU61" s="1365">
        <v>0.65999999999999992</v>
      </c>
      <c r="BV61" s="1365">
        <v>0.65999999999999992</v>
      </c>
      <c r="BW61" s="1365">
        <v>0.65999999999999992</v>
      </c>
      <c r="BX61" s="1365">
        <v>0.65999999999999992</v>
      </c>
      <c r="BY61" s="1365">
        <v>0.65999999999999992</v>
      </c>
      <c r="BZ61" s="1365">
        <v>0.65999999999999992</v>
      </c>
      <c r="CA61" s="1365">
        <v>0.65999999999999992</v>
      </c>
      <c r="CB61" s="1365">
        <v>0.65999999999999992</v>
      </c>
      <c r="CC61" s="1365">
        <v>0.65999999999999992</v>
      </c>
      <c r="CD61" s="1365">
        <v>0.65999999999999992</v>
      </c>
      <c r="CE61" s="1365">
        <v>0.65999999999999992</v>
      </c>
      <c r="CF61" s="1365">
        <v>0.65999999999999992</v>
      </c>
      <c r="CG61" s="1365">
        <v>0.65999999999999992</v>
      </c>
      <c r="CH61" s="1365">
        <v>0.65999999999999992</v>
      </c>
      <c r="CI61" s="1365">
        <v>0.65999999999999992</v>
      </c>
      <c r="CJ61" s="1365">
        <v>0.65999999999999992</v>
      </c>
      <c r="CK61" s="1365">
        <v>0.65999999999999992</v>
      </c>
      <c r="CL61" s="1365">
        <v>0.65999999999999992</v>
      </c>
      <c r="CM61" s="1365">
        <v>0.65999999999999992</v>
      </c>
      <c r="CN61" s="1365">
        <v>0.65999999999999992</v>
      </c>
    </row>
    <row r="62" spans="2:92" ht="28" x14ac:dyDescent="0.3">
      <c r="B62" s="1252" t="s">
        <v>1301</v>
      </c>
      <c r="C62" s="1481" t="s">
        <v>2133</v>
      </c>
      <c r="D62" s="1248" t="s">
        <v>2132</v>
      </c>
      <c r="E62" s="1249" t="s">
        <v>1255</v>
      </c>
      <c r="F62" s="1580" t="s">
        <v>1214</v>
      </c>
      <c r="G62" s="1248" t="s">
        <v>852</v>
      </c>
      <c r="H62" s="1248" t="s">
        <v>1523</v>
      </c>
      <c r="I62" s="1250" t="s">
        <v>85</v>
      </c>
      <c r="J62" s="1250" t="s">
        <v>305</v>
      </c>
      <c r="K62" s="1253">
        <v>2</v>
      </c>
      <c r="L62" s="1251"/>
      <c r="M62" s="1581"/>
      <c r="N62" s="1581"/>
      <c r="O62" s="1581"/>
      <c r="P62" s="1581"/>
      <c r="Q62" s="1363"/>
      <c r="R62" s="1364">
        <v>0.318</v>
      </c>
      <c r="S62" s="1364">
        <v>0.63600000000000001</v>
      </c>
      <c r="T62" s="1364">
        <v>0.95399999999999996</v>
      </c>
      <c r="U62" s="1364">
        <v>1.272</v>
      </c>
      <c r="V62" s="1364">
        <v>1.59</v>
      </c>
      <c r="W62" s="1364">
        <v>1.8180000000000001</v>
      </c>
      <c r="X62" s="1364">
        <v>2.0460000000000003</v>
      </c>
      <c r="Y62" s="1364">
        <v>2.274</v>
      </c>
      <c r="Z62" s="1364">
        <v>2.5020000000000002</v>
      </c>
      <c r="AA62" s="1364">
        <v>2.7300000000000004</v>
      </c>
      <c r="AB62" s="1364">
        <v>2.4260000000000006</v>
      </c>
      <c r="AC62" s="1364">
        <v>2.1220000000000003</v>
      </c>
      <c r="AD62" s="1364">
        <v>1.8180000000000005</v>
      </c>
      <c r="AE62" s="1364">
        <v>1.5140000000000005</v>
      </c>
      <c r="AF62" s="1364">
        <v>1.2100000000000004</v>
      </c>
      <c r="AG62" s="1364">
        <v>0.98000000000000043</v>
      </c>
      <c r="AH62" s="1364">
        <v>0.75000000000000044</v>
      </c>
      <c r="AI62" s="1364">
        <v>0.52000000000000035</v>
      </c>
      <c r="AJ62" s="1364">
        <v>0.29000000000000037</v>
      </c>
      <c r="AK62" s="1364">
        <v>6.0000000000000275E-2</v>
      </c>
      <c r="AL62" s="1364">
        <v>4.8000000000000174E-2</v>
      </c>
      <c r="AM62" s="1364">
        <v>3.6000000000000074E-2</v>
      </c>
      <c r="AN62" s="1364">
        <v>2.3999999999999973E-2</v>
      </c>
      <c r="AO62" s="1364">
        <v>1.1999999999999872E-2</v>
      </c>
      <c r="AP62" s="1364">
        <v>-2.2898349882893854E-16</v>
      </c>
      <c r="AQ62" s="1364">
        <v>-2.2898349882893854E-16</v>
      </c>
      <c r="AR62" s="1364">
        <v>-2.2898349882893854E-16</v>
      </c>
      <c r="AS62" s="1364">
        <v>-2.2898349882893854E-16</v>
      </c>
      <c r="AT62" s="1364">
        <v>-2.2898349882893854E-16</v>
      </c>
      <c r="AU62" s="1364">
        <v>-2.2898349882893854E-16</v>
      </c>
      <c r="AV62" s="1364">
        <v>-2.2898349882893854E-16</v>
      </c>
      <c r="AW62" s="1364">
        <v>-2.2898349882893854E-16</v>
      </c>
      <c r="AX62" s="1364">
        <v>-2.2898349882893854E-16</v>
      </c>
      <c r="AY62" s="1364">
        <v>-2.2898349882893854E-16</v>
      </c>
      <c r="AZ62" s="1364">
        <v>-2.2898349882893854E-16</v>
      </c>
      <c r="BA62" s="1364">
        <v>-2.2898349882893854E-16</v>
      </c>
      <c r="BB62" s="1364">
        <v>-2.2898349882893854E-16</v>
      </c>
      <c r="BC62" s="1364">
        <v>-2.2898349882893854E-16</v>
      </c>
      <c r="BD62" s="1364">
        <v>-2.2898349882893854E-16</v>
      </c>
      <c r="BE62" s="1364">
        <v>-2.2898349882893854E-16</v>
      </c>
      <c r="BF62" s="1364">
        <v>-2.2898349882893854E-16</v>
      </c>
      <c r="BG62" s="1364">
        <v>-2.2898349882893854E-16</v>
      </c>
      <c r="BH62" s="1364">
        <v>-2.2898349882893854E-16</v>
      </c>
      <c r="BI62" s="1364">
        <v>-2.2898349882893854E-16</v>
      </c>
      <c r="BJ62" s="1364">
        <v>-2.2898349882893854E-16</v>
      </c>
      <c r="BK62" s="1364">
        <v>-2.2898349882893854E-16</v>
      </c>
      <c r="BL62" s="1364">
        <v>-2.2898349882893854E-16</v>
      </c>
      <c r="BM62" s="1364">
        <v>-2.2898349882893854E-16</v>
      </c>
      <c r="BN62" s="1364">
        <v>-2.2898349882893854E-16</v>
      </c>
      <c r="BO62" s="1364">
        <v>-2.2898349882893854E-16</v>
      </c>
      <c r="BP62" s="1364">
        <v>-2.2898349882893854E-16</v>
      </c>
      <c r="BQ62" s="1364">
        <v>-2.2898349882893854E-16</v>
      </c>
      <c r="BR62" s="1364">
        <v>-2.2898349882893854E-16</v>
      </c>
      <c r="BS62" s="1364">
        <v>-2.2898349882893854E-16</v>
      </c>
      <c r="BT62" s="1364">
        <v>-2.2898349882893854E-16</v>
      </c>
      <c r="BU62" s="1364">
        <v>-2.2898349882893854E-16</v>
      </c>
      <c r="BV62" s="1364">
        <v>-2.2898349882893854E-16</v>
      </c>
      <c r="BW62" s="1364">
        <v>-2.2898349882893854E-16</v>
      </c>
      <c r="BX62" s="1364">
        <v>-2.2898349882893854E-16</v>
      </c>
      <c r="BY62" s="1364">
        <v>-2.2898349882893854E-16</v>
      </c>
      <c r="BZ62" s="1364">
        <v>-2.2898349882893854E-16</v>
      </c>
      <c r="CA62" s="1364">
        <v>-2.2898349882893854E-16</v>
      </c>
      <c r="CB62" s="1364">
        <v>-2.2898349882893854E-16</v>
      </c>
      <c r="CC62" s="1364">
        <v>-2.2898349882893854E-16</v>
      </c>
      <c r="CD62" s="1364">
        <v>-2.2898349882893854E-16</v>
      </c>
      <c r="CE62" s="1364">
        <v>-2.2898349882893854E-16</v>
      </c>
      <c r="CF62" s="1364">
        <v>-2.2898349882893854E-16</v>
      </c>
      <c r="CG62" s="1364">
        <v>-2.2898349882893854E-16</v>
      </c>
      <c r="CH62" s="1364">
        <v>-2.2898349882893854E-16</v>
      </c>
      <c r="CI62" s="1364">
        <v>-2.2898349882893854E-16</v>
      </c>
      <c r="CJ62" s="1364">
        <v>-2.2898349882893854E-16</v>
      </c>
      <c r="CK62" s="1364">
        <v>-2.2898349882893854E-16</v>
      </c>
      <c r="CL62" s="1364">
        <v>-2.2898349882893854E-16</v>
      </c>
      <c r="CM62" s="1364">
        <v>-2.2898349882893854E-16</v>
      </c>
      <c r="CN62" s="1364">
        <v>-2.2898349882893854E-16</v>
      </c>
    </row>
    <row r="63" spans="2:92" ht="28" x14ac:dyDescent="0.35">
      <c r="B63" s="1252" t="s">
        <v>1301</v>
      </c>
      <c r="C63" s="1409" t="s">
        <v>2135</v>
      </c>
      <c r="D63" s="1248" t="s">
        <v>2134</v>
      </c>
      <c r="E63" s="1249" t="s">
        <v>1274</v>
      </c>
      <c r="F63" s="1580" t="s">
        <v>1088</v>
      </c>
      <c r="G63" s="1248" t="s">
        <v>852</v>
      </c>
      <c r="H63" s="1248" t="s">
        <v>1523</v>
      </c>
      <c r="I63" s="1250" t="s">
        <v>85</v>
      </c>
      <c r="J63" s="1250" t="s">
        <v>305</v>
      </c>
      <c r="K63" s="1253">
        <v>2</v>
      </c>
      <c r="L63" s="1251"/>
      <c r="M63" s="1581"/>
      <c r="N63" s="1581"/>
      <c r="O63" s="1581"/>
      <c r="P63" s="1581"/>
      <c r="Q63" s="1363"/>
      <c r="R63" s="1364">
        <v>0</v>
      </c>
      <c r="S63" s="1364">
        <v>0</v>
      </c>
      <c r="T63" s="1364">
        <v>0</v>
      </c>
      <c r="U63" s="1364">
        <v>0</v>
      </c>
      <c r="V63" s="1364">
        <v>0.13486073293168299</v>
      </c>
      <c r="W63" s="1364">
        <v>0.27358059188231798</v>
      </c>
      <c r="X63" s="1364">
        <v>0.41530400057688299</v>
      </c>
      <c r="Y63" s="1364">
        <v>0.55835903588698699</v>
      </c>
      <c r="Z63" s="1364">
        <v>0.70400838955184697</v>
      </c>
      <c r="AA63" s="1364">
        <v>0.85245872329848205</v>
      </c>
      <c r="AB63" s="1364">
        <v>1.1597157717469599</v>
      </c>
      <c r="AC63" s="1364">
        <v>1.46999754553782</v>
      </c>
      <c r="AD63" s="1364">
        <v>1.7832920109607799</v>
      </c>
      <c r="AE63" s="1364">
        <v>2.1017250883327798</v>
      </c>
      <c r="AF63" s="1364">
        <v>2.42187381770461</v>
      </c>
      <c r="AG63" s="1364">
        <v>2.7456594726766301</v>
      </c>
      <c r="AH63" s="1364">
        <v>3.0726044612208501</v>
      </c>
      <c r="AI63" s="1364">
        <v>3.4024687841332799</v>
      </c>
      <c r="AJ63" s="1364">
        <v>3.73551686768519</v>
      </c>
      <c r="AK63" s="1364">
        <v>4.0711229710592702</v>
      </c>
      <c r="AL63" s="1364">
        <v>4.1963961342818603</v>
      </c>
      <c r="AM63" s="1364">
        <v>4.3216996634544103</v>
      </c>
      <c r="AN63" s="1364">
        <v>4.4474370378613601</v>
      </c>
      <c r="AO63" s="1364">
        <v>4.5730443428297498</v>
      </c>
      <c r="AP63" s="1364">
        <v>4.6977937971219399</v>
      </c>
      <c r="AQ63" s="1364">
        <v>4.81147585610832</v>
      </c>
      <c r="AR63" s="1364">
        <v>4.9251900711853001</v>
      </c>
      <c r="AS63" s="1364">
        <v>5.0389733689304901</v>
      </c>
      <c r="AT63" s="1364">
        <v>5.0430610217068601</v>
      </c>
      <c r="AU63" s="1364">
        <v>5.0470549125245601</v>
      </c>
      <c r="AV63" s="1364">
        <v>5.0506508904729701</v>
      </c>
      <c r="AW63" s="1364">
        <v>5.0542857432665498</v>
      </c>
      <c r="AX63" s="1364">
        <v>5.05768095531909</v>
      </c>
      <c r="AY63" s="1364">
        <v>5.0607461136446599</v>
      </c>
      <c r="AZ63" s="1364">
        <v>5.0636812130769204</v>
      </c>
      <c r="BA63" s="1364">
        <v>5.0663155204205204</v>
      </c>
      <c r="BB63" s="1364">
        <v>5.0688706795882403</v>
      </c>
      <c r="BC63" s="1364">
        <v>5.0713102756860504</v>
      </c>
      <c r="BD63" s="1364">
        <v>5.0734611811257802</v>
      </c>
      <c r="BE63" s="1364">
        <v>5.0755169118676902</v>
      </c>
      <c r="BF63" s="1364">
        <v>5.0775427472182697</v>
      </c>
      <c r="BG63" s="1364">
        <v>5.0797545844033598</v>
      </c>
      <c r="BH63" s="1364">
        <v>5.0820098590454998</v>
      </c>
      <c r="BI63" s="1364">
        <v>5.0844123001421497</v>
      </c>
      <c r="BJ63" s="1364">
        <v>5.0868824287175398</v>
      </c>
      <c r="BK63" s="1364">
        <v>5.0894491907225996</v>
      </c>
      <c r="BL63" s="1364">
        <v>5.0923656354075799</v>
      </c>
      <c r="BM63" s="1364">
        <v>5.0955305397941304</v>
      </c>
      <c r="BN63" s="1364">
        <v>5.09906008877494</v>
      </c>
      <c r="BO63" s="1364">
        <v>5.1028825900133299</v>
      </c>
      <c r="BP63" s="1364">
        <v>5.1069083373112996</v>
      </c>
      <c r="BQ63" s="1364">
        <v>5.1113066880967999</v>
      </c>
      <c r="BR63" s="1364">
        <v>5.1160936528041496</v>
      </c>
      <c r="BS63" s="1364">
        <v>5.1212273402457997</v>
      </c>
      <c r="BT63" s="1364">
        <v>5.1266996129731002</v>
      </c>
      <c r="BU63" s="1364">
        <v>5.1324322919277297</v>
      </c>
      <c r="BV63" s="1364">
        <v>5.13843343951297</v>
      </c>
      <c r="BW63" s="1364">
        <v>5.1447176243406396</v>
      </c>
      <c r="BX63" s="1364">
        <v>5.1511721009597897</v>
      </c>
      <c r="BY63" s="1364">
        <v>5.1578081482699103</v>
      </c>
      <c r="BZ63" s="1364">
        <v>5.16452954320508</v>
      </c>
      <c r="CA63" s="1364">
        <v>5.1714196550080702</v>
      </c>
      <c r="CB63" s="1364">
        <v>5.1783005938893796</v>
      </c>
      <c r="CC63" s="1364">
        <v>5.1852025447030599</v>
      </c>
      <c r="CD63" s="1364">
        <v>5.1920746035935199</v>
      </c>
      <c r="CE63" s="1364">
        <v>5.1988574579146203</v>
      </c>
      <c r="CF63" s="1364">
        <v>5.2055982664281801</v>
      </c>
      <c r="CG63" s="1364">
        <v>5.2123265040457998</v>
      </c>
      <c r="CH63" s="1364">
        <v>5.2190314424520698</v>
      </c>
      <c r="CI63" s="1364">
        <v>5.2256642304908398</v>
      </c>
      <c r="CJ63" s="1364">
        <v>5.2321092410700096</v>
      </c>
      <c r="CK63" s="1364">
        <v>5.2384181277827198</v>
      </c>
      <c r="CL63" s="1364">
        <v>5.2446732671048997</v>
      </c>
      <c r="CM63" s="1364">
        <v>5.2508771590190202</v>
      </c>
      <c r="CN63" s="1364">
        <v>5.2569159499999998</v>
      </c>
    </row>
    <row r="64" spans="2:92" ht="42" x14ac:dyDescent="0.35">
      <c r="B64" s="1252" t="s">
        <v>1301</v>
      </c>
      <c r="C64" s="1248" t="s">
        <v>1276</v>
      </c>
      <c r="D64" s="1248" t="s">
        <v>1275</v>
      </c>
      <c r="E64" s="1249" t="s">
        <v>1277</v>
      </c>
      <c r="F64" s="1580" t="s">
        <v>1088</v>
      </c>
      <c r="G64" s="1248" t="s">
        <v>852</v>
      </c>
      <c r="H64" s="1248" t="s">
        <v>1523</v>
      </c>
      <c r="I64" s="1250" t="s">
        <v>85</v>
      </c>
      <c r="J64" s="1250" t="s">
        <v>305</v>
      </c>
      <c r="K64" s="1253">
        <v>2</v>
      </c>
      <c r="L64" s="1251"/>
      <c r="M64" s="1581"/>
      <c r="N64" s="1581"/>
      <c r="O64" s="1581"/>
      <c r="P64" s="1581"/>
      <c r="Q64" s="1363"/>
      <c r="R64" s="1364">
        <v>0.154</v>
      </c>
      <c r="S64" s="1364">
        <v>0.308</v>
      </c>
      <c r="T64" s="1364">
        <v>0.46199999999999997</v>
      </c>
      <c r="U64" s="1364">
        <v>0.61599999999999999</v>
      </c>
      <c r="V64" s="1364">
        <v>0.77</v>
      </c>
      <c r="W64" s="1364">
        <v>0.88600000000000001</v>
      </c>
      <c r="X64" s="1364">
        <v>1.002</v>
      </c>
      <c r="Y64" s="1364">
        <v>1.1180000000000001</v>
      </c>
      <c r="Z64" s="1364">
        <v>1.234</v>
      </c>
      <c r="AA64" s="1364">
        <v>1.35</v>
      </c>
      <c r="AB64" s="1364">
        <v>1.35</v>
      </c>
      <c r="AC64" s="1364">
        <v>1.35</v>
      </c>
      <c r="AD64" s="1364">
        <v>1.35</v>
      </c>
      <c r="AE64" s="1364">
        <v>1.35</v>
      </c>
      <c r="AF64" s="1364">
        <v>1.35</v>
      </c>
      <c r="AG64" s="1364">
        <v>1.35</v>
      </c>
      <c r="AH64" s="1364">
        <v>1.35</v>
      </c>
      <c r="AI64" s="1364">
        <v>1.35</v>
      </c>
      <c r="AJ64" s="1364">
        <v>1.35</v>
      </c>
      <c r="AK64" s="1364">
        <v>1.35</v>
      </c>
      <c r="AL64" s="1364">
        <v>1.35</v>
      </c>
      <c r="AM64" s="1364">
        <v>1.35</v>
      </c>
      <c r="AN64" s="1364">
        <v>1.35</v>
      </c>
      <c r="AO64" s="1364">
        <v>1.35</v>
      </c>
      <c r="AP64" s="1364">
        <v>1.35</v>
      </c>
      <c r="AQ64" s="1364">
        <v>1.35</v>
      </c>
      <c r="AR64" s="1364">
        <v>1.35</v>
      </c>
      <c r="AS64" s="1364">
        <v>1.35</v>
      </c>
      <c r="AT64" s="1364">
        <v>1.35</v>
      </c>
      <c r="AU64" s="1364">
        <v>1.35</v>
      </c>
      <c r="AV64" s="1364">
        <v>1.35</v>
      </c>
      <c r="AW64" s="1364">
        <v>1.35</v>
      </c>
      <c r="AX64" s="1364">
        <v>1.35</v>
      </c>
      <c r="AY64" s="1364">
        <v>1.35</v>
      </c>
      <c r="AZ64" s="1364">
        <v>1.35</v>
      </c>
      <c r="BA64" s="1364">
        <v>1.35</v>
      </c>
      <c r="BB64" s="1364">
        <v>1.35</v>
      </c>
      <c r="BC64" s="1364">
        <v>1.35</v>
      </c>
      <c r="BD64" s="1364">
        <v>1.35</v>
      </c>
      <c r="BE64" s="1364">
        <v>1.35</v>
      </c>
      <c r="BF64" s="1364">
        <v>1.35</v>
      </c>
      <c r="BG64" s="1364">
        <v>1.35</v>
      </c>
      <c r="BH64" s="1364">
        <v>1.35</v>
      </c>
      <c r="BI64" s="1364">
        <v>1.35</v>
      </c>
      <c r="BJ64" s="1364">
        <v>1.35</v>
      </c>
      <c r="BK64" s="1364">
        <v>1.35</v>
      </c>
      <c r="BL64" s="1364">
        <v>1.35</v>
      </c>
      <c r="BM64" s="1364">
        <v>1.35</v>
      </c>
      <c r="BN64" s="1364">
        <v>1.35</v>
      </c>
      <c r="BO64" s="1364">
        <v>1.35</v>
      </c>
      <c r="BP64" s="1364">
        <v>1.35</v>
      </c>
      <c r="BQ64" s="1364">
        <v>1.35</v>
      </c>
      <c r="BR64" s="1364">
        <v>1.35</v>
      </c>
      <c r="BS64" s="1364">
        <v>1.35</v>
      </c>
      <c r="BT64" s="1364">
        <v>1.35</v>
      </c>
      <c r="BU64" s="1364">
        <v>1.35</v>
      </c>
      <c r="BV64" s="1364">
        <v>1.35</v>
      </c>
      <c r="BW64" s="1364">
        <v>1.35</v>
      </c>
      <c r="BX64" s="1364">
        <v>1.35</v>
      </c>
      <c r="BY64" s="1364">
        <v>1.35</v>
      </c>
      <c r="BZ64" s="1364">
        <v>1.35</v>
      </c>
      <c r="CA64" s="1364">
        <v>1.35</v>
      </c>
      <c r="CB64" s="1364">
        <v>1.35</v>
      </c>
      <c r="CC64" s="1364">
        <v>1.35</v>
      </c>
      <c r="CD64" s="1364">
        <v>1.35</v>
      </c>
      <c r="CE64" s="1364">
        <v>1.35</v>
      </c>
      <c r="CF64" s="1364">
        <v>1.35</v>
      </c>
      <c r="CG64" s="1364">
        <v>1.35</v>
      </c>
      <c r="CH64" s="1364">
        <v>1.35</v>
      </c>
      <c r="CI64" s="1364">
        <v>1.35</v>
      </c>
      <c r="CJ64" s="1364">
        <v>1.35</v>
      </c>
      <c r="CK64" s="1364">
        <v>1.35</v>
      </c>
      <c r="CL64" s="1364">
        <v>1.35</v>
      </c>
      <c r="CM64" s="1364">
        <v>1.35</v>
      </c>
      <c r="CN64" s="1364">
        <v>1.35</v>
      </c>
    </row>
    <row r="65" spans="2:92" ht="14.5" thickBot="1" x14ac:dyDescent="0.4">
      <c r="B65" s="1585" t="s">
        <v>1301</v>
      </c>
      <c r="C65" s="1586" t="s">
        <v>1281</v>
      </c>
      <c r="D65" s="1586" t="s">
        <v>1280</v>
      </c>
      <c r="E65" s="1587" t="s">
        <v>1282</v>
      </c>
      <c r="F65" s="1588" t="s">
        <v>1088</v>
      </c>
      <c r="G65" s="1586" t="s">
        <v>852</v>
      </c>
      <c r="H65" s="1586" t="s">
        <v>1523</v>
      </c>
      <c r="I65" s="1254" t="s">
        <v>85</v>
      </c>
      <c r="J65" s="1254" t="s">
        <v>305</v>
      </c>
      <c r="K65" s="1255">
        <v>2</v>
      </c>
      <c r="L65" s="362"/>
      <c r="M65" s="362"/>
      <c r="N65" s="362"/>
      <c r="O65" s="1361"/>
      <c r="P65" s="1362"/>
      <c r="Q65" s="1363"/>
      <c r="R65" s="1364">
        <v>0</v>
      </c>
      <c r="S65" s="363">
        <v>0</v>
      </c>
      <c r="T65" s="363">
        <v>0</v>
      </c>
      <c r="U65" s="363">
        <v>0</v>
      </c>
      <c r="V65" s="363">
        <v>0</v>
      </c>
      <c r="W65" s="363">
        <v>7.3999999999999996E-2</v>
      </c>
      <c r="X65" s="363">
        <v>0.14799999999999999</v>
      </c>
      <c r="Y65" s="363">
        <v>0.22199999999999998</v>
      </c>
      <c r="Z65" s="363">
        <v>0.29599999999999999</v>
      </c>
      <c r="AA65" s="363">
        <v>0.37</v>
      </c>
      <c r="AB65" s="363">
        <v>0.438</v>
      </c>
      <c r="AC65" s="363">
        <v>0.50600000000000001</v>
      </c>
      <c r="AD65" s="363">
        <v>0.57400000000000007</v>
      </c>
      <c r="AE65" s="363">
        <v>0.64200000000000002</v>
      </c>
      <c r="AF65" s="363">
        <v>0.71</v>
      </c>
      <c r="AG65" s="363">
        <v>0.71</v>
      </c>
      <c r="AH65" s="363">
        <v>0.71</v>
      </c>
      <c r="AI65" s="363">
        <v>0.71</v>
      </c>
      <c r="AJ65" s="363">
        <v>0.71</v>
      </c>
      <c r="AK65" s="363">
        <v>0.71</v>
      </c>
      <c r="AL65" s="363">
        <v>0.76400000000000001</v>
      </c>
      <c r="AM65" s="363">
        <v>0.81799999999999995</v>
      </c>
      <c r="AN65" s="363">
        <v>0.872</v>
      </c>
      <c r="AO65" s="363">
        <v>0.92599999999999993</v>
      </c>
      <c r="AP65" s="363">
        <v>0.98</v>
      </c>
      <c r="AQ65" s="363">
        <v>0.98</v>
      </c>
      <c r="AR65" s="363">
        <v>0.98</v>
      </c>
      <c r="AS65" s="363">
        <v>0.98</v>
      </c>
      <c r="AT65" s="363">
        <v>0.98</v>
      </c>
      <c r="AU65" s="363">
        <v>0.98</v>
      </c>
      <c r="AV65" s="363">
        <v>0.98</v>
      </c>
      <c r="AW65" s="363">
        <v>0.98</v>
      </c>
      <c r="AX65" s="363">
        <v>0.98</v>
      </c>
      <c r="AY65" s="363">
        <v>0.98</v>
      </c>
      <c r="AZ65" s="363">
        <v>0.98</v>
      </c>
      <c r="BA65" s="363">
        <v>0.98</v>
      </c>
      <c r="BB65" s="363">
        <v>0.98</v>
      </c>
      <c r="BC65" s="363">
        <v>0.98</v>
      </c>
      <c r="BD65" s="363">
        <v>0.98</v>
      </c>
      <c r="BE65" s="363">
        <v>0.98</v>
      </c>
      <c r="BF65" s="363">
        <v>0.98</v>
      </c>
      <c r="BG65" s="363">
        <v>0.98</v>
      </c>
      <c r="BH65" s="363">
        <v>0.98</v>
      </c>
      <c r="BI65" s="363">
        <v>0.98</v>
      </c>
      <c r="BJ65" s="363">
        <v>0.98</v>
      </c>
      <c r="BK65" s="363">
        <v>0.98</v>
      </c>
      <c r="BL65" s="363">
        <v>0.98</v>
      </c>
      <c r="BM65" s="363">
        <v>0.98</v>
      </c>
      <c r="BN65" s="363">
        <v>0.98</v>
      </c>
      <c r="BO65" s="363">
        <v>0.98</v>
      </c>
      <c r="BP65" s="363">
        <v>0.98</v>
      </c>
      <c r="BQ65" s="363">
        <v>0.98</v>
      </c>
      <c r="BR65" s="363">
        <v>0.98</v>
      </c>
      <c r="BS65" s="363">
        <v>0.98</v>
      </c>
      <c r="BT65" s="363">
        <v>0.98</v>
      </c>
      <c r="BU65" s="363">
        <v>0.98</v>
      </c>
      <c r="BV65" s="363">
        <v>0.98</v>
      </c>
      <c r="BW65" s="363">
        <v>0.98</v>
      </c>
      <c r="BX65" s="363">
        <v>0.98</v>
      </c>
      <c r="BY65" s="363">
        <v>0.98</v>
      </c>
      <c r="BZ65" s="363">
        <v>0.98</v>
      </c>
      <c r="CA65" s="363">
        <v>0.98</v>
      </c>
      <c r="CB65" s="363">
        <v>0.98</v>
      </c>
      <c r="CC65" s="363">
        <v>0.98</v>
      </c>
      <c r="CD65" s="363">
        <v>0.98</v>
      </c>
      <c r="CE65" s="363">
        <v>0.98</v>
      </c>
      <c r="CF65" s="363">
        <v>0.98</v>
      </c>
      <c r="CG65" s="363">
        <v>0.98</v>
      </c>
      <c r="CH65" s="363">
        <v>0.98</v>
      </c>
      <c r="CI65" s="363">
        <v>0.98</v>
      </c>
      <c r="CJ65" s="363">
        <v>0.98</v>
      </c>
      <c r="CK65" s="363">
        <v>0.98</v>
      </c>
      <c r="CL65" s="363">
        <v>0.98</v>
      </c>
      <c r="CM65" s="363">
        <v>0.98</v>
      </c>
      <c r="CN65" s="363">
        <v>0.98</v>
      </c>
    </row>
  </sheetData>
  <mergeCells count="1">
    <mergeCell ref="L4:CN4"/>
  </mergeCells>
  <pageMargins left="0.7" right="0.7" top="0.75" bottom="0.75" header="0.3" footer="0.3"/>
  <pageSetup paperSize="9" orientation="portrait" horizontalDpi="90" verticalDpi="9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P243"/>
  <sheetViews>
    <sheetView topLeftCell="A5" zoomScale="70" zoomScaleNormal="70" workbookViewId="0">
      <pane xSplit="3" ySplit="2" topLeftCell="D106" activePane="bottomRight" state="frozen"/>
      <selection pane="topRight" activeCell="D5" sqref="D5"/>
      <selection pane="bottomLeft" activeCell="A7" sqref="A7"/>
      <selection pane="bottomRight" activeCell="F116" sqref="F116"/>
    </sheetView>
  </sheetViews>
  <sheetFormatPr defaultColWidth="9.15234375" defaultRowHeight="14" x14ac:dyDescent="0.3"/>
  <cols>
    <col min="1" max="1" width="2.15234375" style="1257" customWidth="1"/>
    <col min="2" max="2" width="19.84375" style="1257" customWidth="1"/>
    <col min="3" max="3" width="15.53515625" style="1257" customWidth="1"/>
    <col min="4" max="4" width="26.61328125" style="1257" customWidth="1"/>
    <col min="5" max="5" width="15.53515625" style="1257" customWidth="1"/>
    <col min="6" max="6" width="47.07421875" style="1257" customWidth="1"/>
    <col min="7" max="7" width="15.84375" style="1257" customWidth="1"/>
    <col min="8" max="8" width="17.53515625" style="1257" customWidth="1"/>
    <col min="9" max="9" width="9.07421875" style="1257" customWidth="1"/>
    <col min="10" max="11" width="8.15234375" style="1257" customWidth="1"/>
    <col min="12" max="14" width="9.15234375" style="1257"/>
    <col min="15" max="16" width="10.4609375" style="1257" bestFit="1" customWidth="1"/>
    <col min="17" max="29" width="10.61328125" style="1257" bestFit="1" customWidth="1"/>
    <col min="30" max="34" width="10.53515625" style="1257" bestFit="1" customWidth="1"/>
    <col min="35" max="56" width="10.4609375" style="1257" bestFit="1" customWidth="1"/>
    <col min="57" max="64" width="10.61328125" style="1257" bestFit="1" customWidth="1"/>
    <col min="65" max="74" width="10.53515625" style="1257" bestFit="1" customWidth="1"/>
    <col min="75" max="94" width="10.4609375" style="1257" bestFit="1" customWidth="1"/>
    <col min="95" max="16384" width="9.15234375" style="1257"/>
  </cols>
  <sheetData>
    <row r="1" spans="1:94" ht="30" customHeight="1" x14ac:dyDescent="0.3">
      <c r="A1" s="1293" t="s">
        <v>1302</v>
      </c>
    </row>
    <row r="2" spans="1:94" ht="30" customHeight="1" thickBot="1" x14ac:dyDescent="0.35">
      <c r="A2" s="1293"/>
    </row>
    <row r="3" spans="1:94" ht="30" customHeight="1" thickBot="1" x14ac:dyDescent="0.35">
      <c r="B3" s="464" t="s">
        <v>60</v>
      </c>
      <c r="C3" s="462" t="str">
        <f>'[1]TITLE PAGE'!$D$18</f>
        <v>Cambridge Water</v>
      </c>
      <c r="D3" s="1292" t="s">
        <v>2</v>
      </c>
      <c r="E3" s="1291">
        <v>0.1</v>
      </c>
      <c r="F3" s="1290"/>
      <c r="G3" s="1243" t="s">
        <v>59</v>
      </c>
      <c r="H3" s="8"/>
      <c r="I3" s="1290"/>
      <c r="J3" s="1289"/>
    </row>
    <row r="4" spans="1:94" ht="30" customHeight="1" thickBot="1" x14ac:dyDescent="0.35"/>
    <row r="5" spans="1:94" ht="30" customHeight="1" thickBot="1" x14ac:dyDescent="0.35">
      <c r="B5" s="1738" t="s">
        <v>1303</v>
      </c>
      <c r="C5" s="1739"/>
      <c r="D5" s="1289"/>
      <c r="E5" s="1419"/>
      <c r="F5" s="1289"/>
      <c r="G5" s="1289"/>
      <c r="H5" s="1289"/>
      <c r="I5" s="1289"/>
      <c r="J5" s="1289"/>
      <c r="K5" s="1289"/>
    </row>
    <row r="6" spans="1:94" ht="115.5" customHeight="1" thickBot="1" x14ac:dyDescent="0.35">
      <c r="B6" s="1277" t="s">
        <v>1304</v>
      </c>
      <c r="C6" s="1276" t="s">
        <v>795</v>
      </c>
      <c r="D6" s="1275" t="s">
        <v>796</v>
      </c>
      <c r="E6" s="1275" t="s">
        <v>1305</v>
      </c>
      <c r="F6" s="1275" t="s">
        <v>1306</v>
      </c>
      <c r="G6" s="1275" t="s">
        <v>1307</v>
      </c>
      <c r="H6" s="1274" t="s">
        <v>1308</v>
      </c>
      <c r="I6" s="1273" t="s">
        <v>221</v>
      </c>
      <c r="J6" s="1272" t="s">
        <v>222</v>
      </c>
      <c r="K6" s="1272" t="s">
        <v>223</v>
      </c>
      <c r="L6" s="1272" t="s">
        <v>224</v>
      </c>
      <c r="M6" s="1272" t="s">
        <v>225</v>
      </c>
      <c r="N6" s="1272" t="s">
        <v>226</v>
      </c>
      <c r="O6" s="1272" t="s">
        <v>227</v>
      </c>
      <c r="P6" s="1272" t="s">
        <v>228</v>
      </c>
      <c r="Q6" s="1272" t="s">
        <v>229</v>
      </c>
      <c r="R6" s="1272" t="s">
        <v>230</v>
      </c>
      <c r="S6" s="1272" t="s">
        <v>231</v>
      </c>
      <c r="T6" s="1272" t="s">
        <v>232</v>
      </c>
      <c r="U6" s="1272" t="s">
        <v>233</v>
      </c>
      <c r="V6" s="1272" t="s">
        <v>234</v>
      </c>
      <c r="W6" s="1272" t="s">
        <v>235</v>
      </c>
      <c r="X6" s="1272" t="s">
        <v>236</v>
      </c>
      <c r="Y6" s="1272" t="s">
        <v>237</v>
      </c>
      <c r="Z6" s="1272" t="s">
        <v>238</v>
      </c>
      <c r="AA6" s="1272" t="s">
        <v>239</v>
      </c>
      <c r="AB6" s="1272" t="s">
        <v>240</v>
      </c>
      <c r="AC6" s="1272" t="s">
        <v>241</v>
      </c>
      <c r="AD6" s="1272" t="s">
        <v>242</v>
      </c>
      <c r="AE6" s="1272" t="s">
        <v>243</v>
      </c>
      <c r="AF6" s="1272" t="s">
        <v>244</v>
      </c>
      <c r="AG6" s="1272" t="s">
        <v>245</v>
      </c>
      <c r="AH6" s="1272" t="s">
        <v>246</v>
      </c>
      <c r="AI6" s="1272" t="s">
        <v>247</v>
      </c>
      <c r="AJ6" s="1272" t="s">
        <v>248</v>
      </c>
      <c r="AK6" s="1272" t="s">
        <v>249</v>
      </c>
      <c r="AL6" s="1272" t="s">
        <v>250</v>
      </c>
      <c r="AM6" s="1272" t="s">
        <v>251</v>
      </c>
      <c r="AN6" s="1272" t="s">
        <v>252</v>
      </c>
      <c r="AO6" s="1272" t="s">
        <v>253</v>
      </c>
      <c r="AP6" s="1272" t="s">
        <v>254</v>
      </c>
      <c r="AQ6" s="1272" t="s">
        <v>255</v>
      </c>
      <c r="AR6" s="1272" t="s">
        <v>256</v>
      </c>
      <c r="AS6" s="1272" t="s">
        <v>257</v>
      </c>
      <c r="AT6" s="1272" t="s">
        <v>258</v>
      </c>
      <c r="AU6" s="1272" t="s">
        <v>259</v>
      </c>
      <c r="AV6" s="1272" t="s">
        <v>260</v>
      </c>
      <c r="AW6" s="1272" t="s">
        <v>261</v>
      </c>
      <c r="AX6" s="1272" t="s">
        <v>262</v>
      </c>
      <c r="AY6" s="1272" t="s">
        <v>263</v>
      </c>
      <c r="AZ6" s="1272" t="s">
        <v>264</v>
      </c>
      <c r="BA6" s="1272" t="s">
        <v>265</v>
      </c>
      <c r="BB6" s="1272" t="s">
        <v>266</v>
      </c>
      <c r="BC6" s="1272" t="s">
        <v>267</v>
      </c>
      <c r="BD6" s="1272" t="s">
        <v>268</v>
      </c>
      <c r="BE6" s="1272" t="s">
        <v>269</v>
      </c>
      <c r="BF6" s="1272" t="s">
        <v>270</v>
      </c>
      <c r="BG6" s="1272" t="s">
        <v>271</v>
      </c>
      <c r="BH6" s="1272" t="s">
        <v>272</v>
      </c>
      <c r="BI6" s="1272" t="s">
        <v>273</v>
      </c>
      <c r="BJ6" s="1272" t="s">
        <v>274</v>
      </c>
      <c r="BK6" s="1272" t="s">
        <v>275</v>
      </c>
      <c r="BL6" s="1272" t="s">
        <v>276</v>
      </c>
      <c r="BM6" s="1272" t="s">
        <v>277</v>
      </c>
      <c r="BN6" s="1272" t="s">
        <v>278</v>
      </c>
      <c r="BO6" s="1272" t="s">
        <v>279</v>
      </c>
      <c r="BP6" s="1272" t="s">
        <v>280</v>
      </c>
      <c r="BQ6" s="1272" t="s">
        <v>281</v>
      </c>
      <c r="BR6" s="1272" t="s">
        <v>282</v>
      </c>
      <c r="BS6" s="1272" t="s">
        <v>283</v>
      </c>
      <c r="BT6" s="1272" t="s">
        <v>284</v>
      </c>
      <c r="BU6" s="1272" t="s">
        <v>285</v>
      </c>
      <c r="BV6" s="1272" t="s">
        <v>286</v>
      </c>
      <c r="BW6" s="1272" t="s">
        <v>287</v>
      </c>
      <c r="BX6" s="1272" t="s">
        <v>288</v>
      </c>
      <c r="BY6" s="1272" t="s">
        <v>289</v>
      </c>
      <c r="BZ6" s="1272" t="s">
        <v>290</v>
      </c>
      <c r="CA6" s="1272" t="s">
        <v>291</v>
      </c>
      <c r="CB6" s="1272" t="s">
        <v>292</v>
      </c>
      <c r="CC6" s="1272" t="s">
        <v>293</v>
      </c>
      <c r="CD6" s="1272" t="s">
        <v>294</v>
      </c>
      <c r="CE6" s="1272" t="s">
        <v>295</v>
      </c>
      <c r="CF6" s="1272" t="s">
        <v>296</v>
      </c>
      <c r="CG6" s="1272" t="s">
        <v>297</v>
      </c>
      <c r="CH6" s="1272" t="s">
        <v>298</v>
      </c>
      <c r="CI6" s="1272" t="s">
        <v>299</v>
      </c>
      <c r="CJ6" s="1272" t="s">
        <v>300</v>
      </c>
      <c r="CK6" s="1272" t="s">
        <v>301</v>
      </c>
      <c r="CL6" s="1272" t="s">
        <v>658</v>
      </c>
      <c r="CM6" s="1272" t="s">
        <v>1309</v>
      </c>
      <c r="CN6" s="1272" t="s">
        <v>1310</v>
      </c>
      <c r="CO6" s="1272" t="s">
        <v>1311</v>
      </c>
      <c r="CP6" s="1271" t="s">
        <v>1312</v>
      </c>
    </row>
    <row r="7" spans="1:94" ht="28" x14ac:dyDescent="0.3">
      <c r="B7" s="1728" t="s">
        <v>1313</v>
      </c>
      <c r="C7" s="1420" t="s">
        <v>1314</v>
      </c>
      <c r="D7" s="1421" t="s">
        <v>1315</v>
      </c>
      <c r="E7" s="1260" t="s">
        <v>1316</v>
      </c>
      <c r="F7" s="1422"/>
      <c r="G7" s="1288"/>
      <c r="H7" s="1270" t="s">
        <v>163</v>
      </c>
      <c r="I7" s="1266"/>
      <c r="J7" s="1265"/>
      <c r="K7" s="1265"/>
      <c r="L7" s="1265"/>
      <c r="M7" s="1265"/>
      <c r="N7" s="1423"/>
      <c r="O7" s="1424">
        <v>5.9698894478739294E-2</v>
      </c>
      <c r="P7" s="1424">
        <v>0.11939778895747859</v>
      </c>
      <c r="Q7" s="1424">
        <v>0.23879557791495717</v>
      </c>
      <c r="R7" s="1424">
        <v>0.35819336687243569</v>
      </c>
      <c r="S7" s="1424">
        <v>0.41789226135117497</v>
      </c>
      <c r="T7" s="1424">
        <v>0</v>
      </c>
      <c r="U7" s="1424">
        <v>0</v>
      </c>
      <c r="V7" s="1424">
        <v>0</v>
      </c>
      <c r="W7" s="1424">
        <v>0</v>
      </c>
      <c r="X7" s="1424">
        <v>0</v>
      </c>
      <c r="Y7" s="1424">
        <v>0</v>
      </c>
      <c r="Z7" s="1424">
        <v>0</v>
      </c>
      <c r="AA7" s="1424">
        <v>0</v>
      </c>
      <c r="AB7" s="1424">
        <v>0</v>
      </c>
      <c r="AC7" s="1424">
        <v>0</v>
      </c>
      <c r="AD7" s="1424">
        <v>0</v>
      </c>
      <c r="AE7" s="1424">
        <v>0</v>
      </c>
      <c r="AF7" s="1424">
        <v>0</v>
      </c>
      <c r="AG7" s="1424">
        <v>0</v>
      </c>
      <c r="AH7" s="1424">
        <v>0</v>
      </c>
      <c r="AI7" s="1424">
        <v>0</v>
      </c>
      <c r="AJ7" s="1424">
        <v>0</v>
      </c>
      <c r="AK7" s="1424">
        <v>0</v>
      </c>
      <c r="AL7" s="1424">
        <v>0</v>
      </c>
      <c r="AM7" s="1424">
        <v>0</v>
      </c>
      <c r="AN7" s="1424">
        <v>2.068006517979562E-2</v>
      </c>
      <c r="AO7" s="1424">
        <v>4.1360130359591241E-2</v>
      </c>
      <c r="AP7" s="1424">
        <v>8.2720260719182481E-2</v>
      </c>
      <c r="AQ7" s="1424">
        <v>0.12408039107877372</v>
      </c>
      <c r="AR7" s="1424">
        <v>0.14476045625856934</v>
      </c>
      <c r="AS7" s="1424">
        <v>0</v>
      </c>
      <c r="AT7" s="1424">
        <v>0</v>
      </c>
      <c r="AU7" s="1424">
        <v>0</v>
      </c>
      <c r="AV7" s="1424">
        <v>0</v>
      </c>
      <c r="AW7" s="1424">
        <v>0</v>
      </c>
      <c r="AX7" s="1424">
        <v>0</v>
      </c>
      <c r="AY7" s="1424">
        <v>0</v>
      </c>
      <c r="AZ7" s="1424">
        <v>0</v>
      </c>
      <c r="BA7" s="1424">
        <v>0</v>
      </c>
      <c r="BB7" s="1424">
        <v>0</v>
      </c>
      <c r="BC7" s="1424">
        <v>2.1433913594786733E-2</v>
      </c>
      <c r="BD7" s="1424">
        <v>4.2867827189573465E-2</v>
      </c>
      <c r="BE7" s="1424">
        <v>8.5735654379146931E-2</v>
      </c>
      <c r="BF7" s="1424">
        <v>0.1286034815687204</v>
      </c>
      <c r="BG7" s="1424">
        <v>0.15003739516350711</v>
      </c>
      <c r="BH7" s="1424">
        <v>0</v>
      </c>
      <c r="BI7" s="1424">
        <v>0</v>
      </c>
      <c r="BJ7" s="1424">
        <v>0</v>
      </c>
      <c r="BK7" s="1424">
        <v>0</v>
      </c>
      <c r="BL7" s="1424">
        <v>0</v>
      </c>
      <c r="BM7" s="1424">
        <v>2.068006517979562E-2</v>
      </c>
      <c r="BN7" s="1424">
        <v>4.1360130359591241E-2</v>
      </c>
      <c r="BO7" s="1424">
        <v>8.2720260719182481E-2</v>
      </c>
      <c r="BP7" s="1424">
        <v>0.12408039107877372</v>
      </c>
      <c r="BQ7" s="1424">
        <v>0.14476045625856934</v>
      </c>
      <c r="BR7" s="1424">
        <v>0</v>
      </c>
      <c r="BS7" s="1424">
        <v>0</v>
      </c>
      <c r="BT7" s="1424">
        <v>0</v>
      </c>
      <c r="BU7" s="1424">
        <v>0</v>
      </c>
      <c r="BV7" s="1424">
        <v>0</v>
      </c>
      <c r="BW7" s="1424">
        <v>0</v>
      </c>
      <c r="BX7" s="1424">
        <v>0</v>
      </c>
      <c r="BY7" s="1424">
        <v>0</v>
      </c>
      <c r="BZ7" s="1424">
        <v>0</v>
      </c>
      <c r="CA7" s="1424">
        <v>0</v>
      </c>
      <c r="CB7" s="1424">
        <v>0</v>
      </c>
      <c r="CC7" s="1424">
        <v>0</v>
      </c>
      <c r="CD7" s="1424">
        <v>0</v>
      </c>
      <c r="CE7" s="1424">
        <v>0</v>
      </c>
      <c r="CF7" s="1424">
        <v>0</v>
      </c>
      <c r="CG7" s="1424">
        <v>0</v>
      </c>
      <c r="CH7" s="1424">
        <v>0</v>
      </c>
      <c r="CI7" s="1424">
        <v>0</v>
      </c>
      <c r="CJ7" s="1424">
        <v>0</v>
      </c>
      <c r="CK7" s="1424">
        <v>0</v>
      </c>
      <c r="CL7" s="1424">
        <v>2.068006517979562E-2</v>
      </c>
      <c r="CM7" s="1424">
        <v>4.1360130359591241E-2</v>
      </c>
      <c r="CN7" s="1424">
        <v>8.2720260719182481E-2</v>
      </c>
      <c r="CO7" s="1424">
        <v>0.12408039107877372</v>
      </c>
      <c r="CP7" s="1425">
        <v>0.14476045625856934</v>
      </c>
    </row>
    <row r="8" spans="1:94" ht="28" x14ac:dyDescent="0.3">
      <c r="B8" s="1729"/>
      <c r="C8" s="1420" t="s">
        <v>1314</v>
      </c>
      <c r="D8" s="1421" t="s">
        <v>1315</v>
      </c>
      <c r="E8" s="1286" t="s">
        <v>1317</v>
      </c>
      <c r="F8" s="1287"/>
      <c r="G8" s="1287"/>
      <c r="H8" s="1264" t="s">
        <v>1318</v>
      </c>
      <c r="I8" s="1261"/>
      <c r="J8" s="1259"/>
      <c r="K8" s="1259"/>
      <c r="L8" s="1259"/>
      <c r="M8" s="1259"/>
      <c r="N8" s="1426"/>
      <c r="O8" s="1278">
        <v>0</v>
      </c>
      <c r="P8" s="1278">
        <v>0</v>
      </c>
      <c r="Q8" s="1278">
        <v>0</v>
      </c>
      <c r="R8" s="1278">
        <v>0</v>
      </c>
      <c r="S8" s="1278">
        <v>0</v>
      </c>
      <c r="T8" s="1278">
        <v>6.7207513636556243E-3</v>
      </c>
      <c r="U8" s="1278">
        <v>6.7207513636556243E-3</v>
      </c>
      <c r="V8" s="1278">
        <v>6.7207513636556243E-3</v>
      </c>
      <c r="W8" s="1278">
        <v>6.7207513636556243E-3</v>
      </c>
      <c r="X8" s="1278">
        <v>6.7207513636556243E-3</v>
      </c>
      <c r="Y8" s="1278">
        <v>6.7207513636556243E-3</v>
      </c>
      <c r="Z8" s="1278">
        <v>6.7207513636556243E-3</v>
      </c>
      <c r="AA8" s="1278">
        <v>6.7207513636556243E-3</v>
      </c>
      <c r="AB8" s="1278">
        <v>6.7207513636556243E-3</v>
      </c>
      <c r="AC8" s="1278">
        <v>6.7207513636556243E-3</v>
      </c>
      <c r="AD8" s="1278">
        <v>6.7207513636556243E-3</v>
      </c>
      <c r="AE8" s="1278">
        <v>6.7207513636556243E-3</v>
      </c>
      <c r="AF8" s="1278">
        <v>6.7207513636556243E-3</v>
      </c>
      <c r="AG8" s="1278">
        <v>6.7207513636556243E-3</v>
      </c>
      <c r="AH8" s="1278">
        <v>6.7207513636556243E-3</v>
      </c>
      <c r="AI8" s="1278">
        <v>6.7207513636556243E-3</v>
      </c>
      <c r="AJ8" s="1278">
        <v>6.7207513636556243E-3</v>
      </c>
      <c r="AK8" s="1278">
        <v>6.7207513636556243E-3</v>
      </c>
      <c r="AL8" s="1278">
        <v>6.7207513636556243E-3</v>
      </c>
      <c r="AM8" s="1278">
        <v>6.7207513636556243E-3</v>
      </c>
      <c r="AN8" s="1278">
        <v>6.7207513636556243E-3</v>
      </c>
      <c r="AO8" s="1278">
        <v>6.7207513636556243E-3</v>
      </c>
      <c r="AP8" s="1278">
        <v>6.7207513636556243E-3</v>
      </c>
      <c r="AQ8" s="1278">
        <v>6.7207513636556243E-3</v>
      </c>
      <c r="AR8" s="1278">
        <v>6.7207513636556243E-3</v>
      </c>
      <c r="AS8" s="1278">
        <v>6.7207513636556243E-3</v>
      </c>
      <c r="AT8" s="1278">
        <v>6.7207513636556243E-3</v>
      </c>
      <c r="AU8" s="1278">
        <v>6.7207513636556243E-3</v>
      </c>
      <c r="AV8" s="1278">
        <v>6.7207513636556243E-3</v>
      </c>
      <c r="AW8" s="1278">
        <v>6.7207513636556243E-3</v>
      </c>
      <c r="AX8" s="1278">
        <v>6.7207513636556243E-3</v>
      </c>
      <c r="AY8" s="1278">
        <v>6.7207513636556243E-3</v>
      </c>
      <c r="AZ8" s="1278">
        <v>6.7207513636556243E-3</v>
      </c>
      <c r="BA8" s="1278">
        <v>6.7207513636556243E-3</v>
      </c>
      <c r="BB8" s="1278">
        <v>6.7207513636556243E-3</v>
      </c>
      <c r="BC8" s="1278">
        <v>6.7207513636556243E-3</v>
      </c>
      <c r="BD8" s="1278">
        <v>6.7207513636556243E-3</v>
      </c>
      <c r="BE8" s="1278">
        <v>6.7207513636556243E-3</v>
      </c>
      <c r="BF8" s="1278">
        <v>6.7207513636556243E-3</v>
      </c>
      <c r="BG8" s="1278">
        <v>6.7207513636556243E-3</v>
      </c>
      <c r="BH8" s="1278">
        <v>6.7207513636556243E-3</v>
      </c>
      <c r="BI8" s="1278">
        <v>6.7207513636556243E-3</v>
      </c>
      <c r="BJ8" s="1278">
        <v>6.7207513636556243E-3</v>
      </c>
      <c r="BK8" s="1278">
        <v>6.7207513636556243E-3</v>
      </c>
      <c r="BL8" s="1278">
        <v>6.7207513636556243E-3</v>
      </c>
      <c r="BM8" s="1278">
        <v>6.7207513636556243E-3</v>
      </c>
      <c r="BN8" s="1278">
        <v>6.7207513636556243E-3</v>
      </c>
      <c r="BO8" s="1278">
        <v>6.7207513636556243E-3</v>
      </c>
      <c r="BP8" s="1278">
        <v>6.7207513636556243E-3</v>
      </c>
      <c r="BQ8" s="1278">
        <v>6.7207513636556243E-3</v>
      </c>
      <c r="BR8" s="1278">
        <v>6.7207513636556243E-3</v>
      </c>
      <c r="BS8" s="1278">
        <v>6.7207513636556243E-3</v>
      </c>
      <c r="BT8" s="1278">
        <v>6.7207513636556243E-3</v>
      </c>
      <c r="BU8" s="1278">
        <v>6.7207513636556243E-3</v>
      </c>
      <c r="BV8" s="1278">
        <v>6.7207513636556243E-3</v>
      </c>
      <c r="BW8" s="1278">
        <v>6.7207513636556243E-3</v>
      </c>
      <c r="BX8" s="1278">
        <v>6.7207513636556243E-3</v>
      </c>
      <c r="BY8" s="1278">
        <v>6.7207513636556243E-3</v>
      </c>
      <c r="BZ8" s="1278">
        <v>6.7207513636556243E-3</v>
      </c>
      <c r="CA8" s="1278">
        <v>6.7207513636556243E-3</v>
      </c>
      <c r="CB8" s="1278">
        <v>6.7207513636556243E-3</v>
      </c>
      <c r="CC8" s="1278">
        <v>6.7207513636556243E-3</v>
      </c>
      <c r="CD8" s="1278">
        <v>6.7207513636556243E-3</v>
      </c>
      <c r="CE8" s="1278">
        <v>6.7207513636556243E-3</v>
      </c>
      <c r="CF8" s="1278">
        <v>6.7207513636556243E-3</v>
      </c>
      <c r="CG8" s="1278">
        <v>6.7207513636556243E-3</v>
      </c>
      <c r="CH8" s="1278">
        <v>6.7207513636556243E-3</v>
      </c>
      <c r="CI8" s="1278">
        <v>6.7207513636556243E-3</v>
      </c>
      <c r="CJ8" s="1278">
        <v>6.7207513636556243E-3</v>
      </c>
      <c r="CK8" s="1278">
        <v>6.7207513636556243E-3</v>
      </c>
      <c r="CL8" s="1278">
        <v>6.7207513636556243E-3</v>
      </c>
      <c r="CM8" s="1278">
        <v>6.7207513636556243E-3</v>
      </c>
      <c r="CN8" s="1278">
        <v>6.7207513636556243E-3</v>
      </c>
      <c r="CO8" s="1278">
        <v>6.7207513636556243E-3</v>
      </c>
      <c r="CP8" s="1278">
        <v>6.7207513636556243E-3</v>
      </c>
    </row>
    <row r="9" spans="1:94" ht="28" x14ac:dyDescent="0.3">
      <c r="B9" s="1729"/>
      <c r="C9" s="1420" t="s">
        <v>1314</v>
      </c>
      <c r="D9" s="1421" t="s">
        <v>1315</v>
      </c>
      <c r="E9" s="1286" t="s">
        <v>1319</v>
      </c>
      <c r="F9" s="1260"/>
      <c r="G9" s="1287"/>
      <c r="H9" s="1264" t="s">
        <v>1318</v>
      </c>
      <c r="I9" s="1261"/>
      <c r="J9" s="1259"/>
      <c r="K9" s="1259"/>
      <c r="L9" s="1259"/>
      <c r="M9" s="1259"/>
      <c r="N9" s="1426"/>
      <c r="O9" s="1427">
        <v>3.3029598284995357E-3</v>
      </c>
      <c r="P9" s="1427">
        <v>9.8626599182123943E-3</v>
      </c>
      <c r="Q9" s="1427">
        <v>2.2935840530351897E-2</v>
      </c>
      <c r="R9" s="1427">
        <v>4.2430062530345626E-2</v>
      </c>
      <c r="S9" s="1427">
        <v>6.4949926955121598E-2</v>
      </c>
      <c r="T9" s="1427">
        <v>6.4025535609397333E-2</v>
      </c>
      <c r="U9" s="1427">
        <v>6.3101144263673081E-2</v>
      </c>
      <c r="V9" s="1427">
        <v>6.2176752917948823E-2</v>
      </c>
      <c r="W9" s="1427">
        <v>6.1252361572224572E-2</v>
      </c>
      <c r="X9" s="1427">
        <v>6.0327970226500313E-2</v>
      </c>
      <c r="Y9" s="1427">
        <v>5.9403578880776055E-2</v>
      </c>
      <c r="Z9" s="1427">
        <v>5.8479187535051796E-2</v>
      </c>
      <c r="AA9" s="1427">
        <v>5.7554796189327545E-2</v>
      </c>
      <c r="AB9" s="1427">
        <v>5.6630404843603287E-2</v>
      </c>
      <c r="AC9" s="1427">
        <v>5.5706013497879028E-2</v>
      </c>
      <c r="AD9" s="1427">
        <v>5.478162215215477E-2</v>
      </c>
      <c r="AE9" s="1427">
        <v>5.3857230806430512E-2</v>
      </c>
      <c r="AF9" s="1427">
        <v>5.2932839460706253E-2</v>
      </c>
      <c r="AG9" s="1427">
        <v>5.2008448114981995E-2</v>
      </c>
      <c r="AH9" s="1427">
        <v>5.1084056769257744E-2</v>
      </c>
      <c r="AI9" s="1427">
        <v>5.0159665423533485E-2</v>
      </c>
      <c r="AJ9" s="1427">
        <v>4.923527407780922E-2</v>
      </c>
      <c r="AK9" s="1427">
        <v>4.8310882732084962E-2</v>
      </c>
      <c r="AL9" s="1427">
        <v>4.738649138636071E-2</v>
      </c>
      <c r="AM9" s="1427">
        <v>4.6462100040636452E-2</v>
      </c>
      <c r="AN9" s="1427">
        <v>4.614156659816223E-2</v>
      </c>
      <c r="AO9" s="1427">
        <v>4.6424891058938031E-2</v>
      </c>
      <c r="AP9" s="1427">
        <v>4.7915931326213898E-2</v>
      </c>
      <c r="AQ9" s="1427">
        <v>5.0614687399989831E-2</v>
      </c>
      <c r="AR9" s="1427">
        <v>5.3917301377015801E-2</v>
      </c>
      <c r="AS9" s="1427">
        <v>5.2992910031291543E-2</v>
      </c>
      <c r="AT9" s="1427">
        <v>5.2068518685567292E-2</v>
      </c>
      <c r="AU9" s="1427">
        <v>5.1144127339843026E-2</v>
      </c>
      <c r="AV9" s="1427">
        <v>5.0219735994118768E-2</v>
      </c>
      <c r="AW9" s="1427">
        <v>4.9295344648394503E-2</v>
      </c>
      <c r="AX9" s="1427">
        <v>4.8370953302670258E-2</v>
      </c>
      <c r="AY9" s="1427">
        <v>4.7446561956946E-2</v>
      </c>
      <c r="AZ9" s="1427">
        <v>4.6522170611221741E-2</v>
      </c>
      <c r="BA9" s="1427">
        <v>4.5597779265497476E-2</v>
      </c>
      <c r="BB9" s="1427">
        <v>4.4673387919773225E-2</v>
      </c>
      <c r="BC9" s="1427">
        <v>4.4374866851016735E-2</v>
      </c>
      <c r="BD9" s="1427">
        <v>4.4702216059228021E-2</v>
      </c>
      <c r="BE9" s="1427">
        <v>4.6281305821374859E-2</v>
      </c>
      <c r="BF9" s="1427">
        <v>4.9112136137457234E-2</v>
      </c>
      <c r="BG9" s="1427">
        <v>5.2568836730507384E-2</v>
      </c>
      <c r="BH9" s="1427">
        <v>5.1644445384783126E-2</v>
      </c>
      <c r="BI9" s="1427">
        <v>5.0720054039058868E-2</v>
      </c>
      <c r="BJ9" s="1427">
        <v>4.9795662693334623E-2</v>
      </c>
      <c r="BK9" s="1427">
        <v>4.8871271347610351E-2</v>
      </c>
      <c r="BL9" s="1427">
        <v>4.79468800018861E-2</v>
      </c>
      <c r="BM9" s="1427">
        <v>4.7626346559411871E-2</v>
      </c>
      <c r="BN9" s="1427">
        <v>4.7909671020187672E-2</v>
      </c>
      <c r="BO9" s="1427">
        <v>4.9400711287463546E-2</v>
      </c>
      <c r="BP9" s="1427">
        <v>5.2099467361239479E-2</v>
      </c>
      <c r="BQ9" s="1427">
        <v>5.5402081338265449E-2</v>
      </c>
      <c r="BR9" s="1427">
        <v>5.4477689992541184E-2</v>
      </c>
      <c r="BS9" s="1427">
        <v>5.3553298646816926E-2</v>
      </c>
      <c r="BT9" s="1427">
        <v>5.2628907301092667E-2</v>
      </c>
      <c r="BU9" s="1427">
        <v>5.1704515955368416E-2</v>
      </c>
      <c r="BV9" s="1427">
        <v>5.0780124609644164E-2</v>
      </c>
      <c r="BW9" s="1427">
        <v>4.9855733263919899E-2</v>
      </c>
      <c r="BX9" s="1427">
        <v>4.8931341918195641E-2</v>
      </c>
      <c r="BY9" s="1427">
        <v>4.8006950572471382E-2</v>
      </c>
      <c r="BZ9" s="1427">
        <v>4.7082559226747124E-2</v>
      </c>
      <c r="CA9" s="1427">
        <v>4.6158167881022873E-2</v>
      </c>
      <c r="CB9" s="1427">
        <v>4.52337765352986E-2</v>
      </c>
      <c r="CC9" s="1427">
        <v>4.4309385189574356E-2</v>
      </c>
      <c r="CD9" s="1427">
        <v>4.3384993843850098E-2</v>
      </c>
      <c r="CE9" s="1427">
        <v>4.2460602498125839E-2</v>
      </c>
      <c r="CF9" s="1427">
        <v>4.1536211152401574E-2</v>
      </c>
      <c r="CG9" s="1427">
        <v>4.0611819806677316E-2</v>
      </c>
      <c r="CH9" s="1427">
        <v>3.9687428460953057E-2</v>
      </c>
      <c r="CI9" s="1427">
        <v>3.8763037115228813E-2</v>
      </c>
      <c r="CJ9" s="1427">
        <v>3.7838645769504554E-2</v>
      </c>
      <c r="CK9" s="1427">
        <v>3.6914254423780289E-2</v>
      </c>
      <c r="CL9" s="1427">
        <v>3.659372098130606E-2</v>
      </c>
      <c r="CM9" s="1427">
        <v>3.6877045442081875E-2</v>
      </c>
      <c r="CN9" s="1427">
        <v>3.8368085709357742E-2</v>
      </c>
      <c r="CO9" s="1427">
        <v>4.1066841783133683E-2</v>
      </c>
      <c r="CP9" s="1428">
        <v>4.4369455760159646E-2</v>
      </c>
    </row>
    <row r="10" spans="1:94" ht="46.5" x14ac:dyDescent="0.3">
      <c r="B10" s="1729"/>
      <c r="C10" s="1281" t="s">
        <v>1314</v>
      </c>
      <c r="D10" s="1429" t="s">
        <v>1315</v>
      </c>
      <c r="E10" s="1286" t="s">
        <v>1320</v>
      </c>
      <c r="F10" s="1287"/>
      <c r="G10" s="1287"/>
      <c r="H10" s="1264" t="s">
        <v>1318</v>
      </c>
      <c r="I10" s="1261"/>
      <c r="J10" s="1259"/>
      <c r="K10" s="1259"/>
      <c r="L10" s="1259"/>
      <c r="M10" s="1259"/>
      <c r="N10" s="1426"/>
      <c r="O10" s="1427"/>
      <c r="P10" s="1427">
        <v>3.5000000000000003E-2</v>
      </c>
      <c r="Q10" s="1427">
        <v>3.5000000000000003E-2</v>
      </c>
      <c r="R10" s="1427">
        <v>3.5000000000000003E-2</v>
      </c>
      <c r="S10" s="1427">
        <v>3.5000000000000003E-2</v>
      </c>
      <c r="T10" s="1427">
        <v>3.5000000000000003E-2</v>
      </c>
      <c r="U10" s="1427">
        <v>3.5000000000000003E-2</v>
      </c>
      <c r="V10" s="1427">
        <v>3.5000000000000003E-2</v>
      </c>
      <c r="W10" s="1427">
        <v>3.5000000000000003E-2</v>
      </c>
      <c r="X10" s="1427">
        <v>3.5000000000000003E-2</v>
      </c>
      <c r="Y10" s="1427">
        <v>3.5000000000000003E-2</v>
      </c>
      <c r="Z10" s="1427">
        <v>3.5000000000000003E-2</v>
      </c>
      <c r="AA10" s="1427">
        <v>3.5000000000000003E-2</v>
      </c>
      <c r="AB10" s="1427">
        <v>3.5000000000000003E-2</v>
      </c>
      <c r="AC10" s="1427">
        <v>3.5000000000000003E-2</v>
      </c>
      <c r="AD10" s="1427">
        <v>3.5000000000000003E-2</v>
      </c>
      <c r="AE10" s="1427">
        <v>3.5000000000000003E-2</v>
      </c>
      <c r="AF10" s="1427">
        <v>3.5000000000000003E-2</v>
      </c>
      <c r="AG10" s="1427">
        <v>3.5000000000000003E-2</v>
      </c>
      <c r="AH10" s="1427">
        <v>3.5000000000000003E-2</v>
      </c>
      <c r="AI10" s="1427">
        <v>3.5000000000000003E-2</v>
      </c>
      <c r="AJ10" s="1427">
        <v>3.5000000000000003E-2</v>
      </c>
      <c r="AK10" s="1427">
        <v>3.5000000000000003E-2</v>
      </c>
      <c r="AL10" s="1427">
        <v>3.5000000000000003E-2</v>
      </c>
      <c r="AM10" s="1427">
        <v>3.5000000000000003E-2</v>
      </c>
      <c r="AN10" s="1427">
        <v>3.5000000000000003E-2</v>
      </c>
      <c r="AO10" s="1427">
        <v>3.5000000000000003E-2</v>
      </c>
      <c r="AP10" s="1427">
        <v>3.5000000000000003E-2</v>
      </c>
      <c r="AQ10" s="1427">
        <v>3.5000000000000003E-2</v>
      </c>
      <c r="AR10" s="1427">
        <v>3.5000000000000003E-2</v>
      </c>
      <c r="AS10" s="1427">
        <v>0.03</v>
      </c>
      <c r="AT10" s="1427">
        <v>0.03</v>
      </c>
      <c r="AU10" s="1427">
        <v>0.03</v>
      </c>
      <c r="AV10" s="1427">
        <v>0.03</v>
      </c>
      <c r="AW10" s="1427">
        <v>0.03</v>
      </c>
      <c r="AX10" s="1427">
        <v>0.03</v>
      </c>
      <c r="AY10" s="1427">
        <v>0.03</v>
      </c>
      <c r="AZ10" s="1427">
        <v>0.03</v>
      </c>
      <c r="BA10" s="1427">
        <v>0.03</v>
      </c>
      <c r="BB10" s="1427">
        <v>0.03</v>
      </c>
      <c r="BC10" s="1427">
        <v>0.03</v>
      </c>
      <c r="BD10" s="1427">
        <v>0.03</v>
      </c>
      <c r="BE10" s="1427">
        <v>0.03</v>
      </c>
      <c r="BF10" s="1427">
        <v>0.03</v>
      </c>
      <c r="BG10" s="1427">
        <v>0.03</v>
      </c>
      <c r="BH10" s="1427">
        <v>0.03</v>
      </c>
      <c r="BI10" s="1427">
        <v>0.03</v>
      </c>
      <c r="BJ10" s="1427">
        <v>0.03</v>
      </c>
      <c r="BK10" s="1427">
        <v>0.03</v>
      </c>
      <c r="BL10" s="1427">
        <v>0.03</v>
      </c>
      <c r="BM10" s="1427">
        <v>0.03</v>
      </c>
      <c r="BN10" s="1427">
        <v>0.03</v>
      </c>
      <c r="BO10" s="1427">
        <v>0.03</v>
      </c>
      <c r="BP10" s="1427">
        <v>0.03</v>
      </c>
      <c r="BQ10" s="1427">
        <v>0.03</v>
      </c>
      <c r="BR10" s="1427">
        <v>0.03</v>
      </c>
      <c r="BS10" s="1427">
        <v>0.03</v>
      </c>
      <c r="BT10" s="1427">
        <v>0.03</v>
      </c>
      <c r="BU10" s="1427">
        <v>0.03</v>
      </c>
      <c r="BV10" s="1427">
        <v>0.03</v>
      </c>
      <c r="BW10" s="1427">
        <v>0.03</v>
      </c>
      <c r="BX10" s="1427">
        <v>0.03</v>
      </c>
      <c r="BY10" s="1427">
        <v>0.03</v>
      </c>
      <c r="BZ10" s="1427">
        <v>0.03</v>
      </c>
      <c r="CA10" s="1427">
        <v>0.03</v>
      </c>
      <c r="CB10" s="1427">
        <v>0.03</v>
      </c>
      <c r="CC10" s="1427">
        <v>0.03</v>
      </c>
      <c r="CD10" s="1427">
        <v>0.03</v>
      </c>
      <c r="CE10" s="1427">
        <v>0.03</v>
      </c>
      <c r="CF10" s="1427">
        <v>0.03</v>
      </c>
      <c r="CG10" s="1427">
        <v>0.03</v>
      </c>
      <c r="CH10" s="1427">
        <v>0.03</v>
      </c>
      <c r="CI10" s="1427">
        <v>0.03</v>
      </c>
      <c r="CJ10" s="1427">
        <v>0.03</v>
      </c>
      <c r="CK10" s="1427">
        <v>0.03</v>
      </c>
      <c r="CL10" s="1427">
        <v>2.5000000000000001E-2</v>
      </c>
      <c r="CM10" s="1427">
        <v>2.5000000000000001E-2</v>
      </c>
      <c r="CN10" s="1427">
        <v>2.5000000000000001E-2</v>
      </c>
      <c r="CO10" s="1427">
        <v>2.5000000000000001E-2</v>
      </c>
      <c r="CP10" s="1428">
        <v>2.5000000000000001E-2</v>
      </c>
    </row>
    <row r="11" spans="1:94" ht="28" x14ac:dyDescent="0.3">
      <c r="B11" s="1729"/>
      <c r="C11" s="1430" t="s">
        <v>1314</v>
      </c>
      <c r="D11" s="1431" t="s">
        <v>1315</v>
      </c>
      <c r="E11" s="1286" t="s">
        <v>1321</v>
      </c>
      <c r="F11" s="1287"/>
      <c r="G11" s="1287"/>
      <c r="H11" s="1264" t="s">
        <v>1318</v>
      </c>
      <c r="I11" s="1261"/>
      <c r="J11" s="1259"/>
      <c r="K11" s="1259"/>
      <c r="L11" s="1259"/>
      <c r="M11" s="1259"/>
      <c r="N11" s="1426"/>
      <c r="O11" s="1427">
        <v>1</v>
      </c>
      <c r="P11" s="1427">
        <v>0.96618357487922713</v>
      </c>
      <c r="Q11" s="1427">
        <v>0.93351070036640305</v>
      </c>
      <c r="R11" s="1427">
        <v>0.90194270566802237</v>
      </c>
      <c r="S11" s="1427">
        <v>0.87144222769857238</v>
      </c>
      <c r="T11" s="1427">
        <v>0.84197316685852408</v>
      </c>
      <c r="U11" s="1427">
        <v>0.81350064430775282</v>
      </c>
      <c r="V11" s="1427">
        <v>0.78599096068381924</v>
      </c>
      <c r="W11" s="1427">
        <v>0.75941155621625056</v>
      </c>
      <c r="X11" s="1427">
        <v>0.73373097218961414</v>
      </c>
      <c r="Y11" s="1427">
        <v>0.70891881370977217</v>
      </c>
      <c r="Z11" s="1427">
        <v>0.68494571372924851</v>
      </c>
      <c r="AA11" s="1427">
        <v>0.66178329828912907</v>
      </c>
      <c r="AB11" s="1427">
        <v>0.63940415293635666</v>
      </c>
      <c r="AC11" s="1427">
        <v>0.61778179027667313</v>
      </c>
      <c r="AD11" s="1427">
        <v>0.59689061862480497</v>
      </c>
      <c r="AE11" s="1427">
        <v>0.57670591171478747</v>
      </c>
      <c r="AF11" s="1427">
        <v>0.55720377943457733</v>
      </c>
      <c r="AG11" s="1427">
        <v>0.53836113955031628</v>
      </c>
      <c r="AH11" s="1427">
        <v>0.520155690386779</v>
      </c>
      <c r="AI11" s="1427">
        <v>0.50256588443167061</v>
      </c>
      <c r="AJ11" s="1427">
        <v>0.48557090283253201</v>
      </c>
      <c r="AK11" s="1427">
        <v>0.46915063075606961</v>
      </c>
      <c r="AL11" s="1427">
        <v>0.45328563358074364</v>
      </c>
      <c r="AM11" s="1427">
        <v>0.43795713389443836</v>
      </c>
      <c r="AN11" s="1427">
        <v>0.42314698926998878</v>
      </c>
      <c r="AO11" s="1427">
        <v>0.40883767079225974</v>
      </c>
      <c r="AP11" s="1427">
        <v>0.39501224231136212</v>
      </c>
      <c r="AQ11" s="1427">
        <v>0.38165434039745133</v>
      </c>
      <c r="AR11" s="1427">
        <v>0.36874815497338298</v>
      </c>
      <c r="AS11" s="1427">
        <v>0.35800791744988636</v>
      </c>
      <c r="AT11" s="1427">
        <v>0.34758050237853044</v>
      </c>
      <c r="AU11" s="1427">
        <v>0.33745679842575771</v>
      </c>
      <c r="AV11" s="1427">
        <v>0.32762795963665797</v>
      </c>
      <c r="AW11" s="1427">
        <v>0.31808539770549316</v>
      </c>
      <c r="AX11" s="1427">
        <v>0.30882077447135259</v>
      </c>
      <c r="AY11" s="1427">
        <v>0.29982599463238113</v>
      </c>
      <c r="AZ11" s="1427">
        <v>0.29109319867221467</v>
      </c>
      <c r="BA11" s="1427">
        <v>0.2826147559924414</v>
      </c>
      <c r="BB11" s="1427">
        <v>0.27438325824508875</v>
      </c>
      <c r="BC11" s="1427">
        <v>0.26639151285930945</v>
      </c>
      <c r="BD11" s="1427">
        <v>0.25863253675661113</v>
      </c>
      <c r="BE11" s="1427">
        <v>0.25109955024913699</v>
      </c>
      <c r="BF11" s="1427">
        <v>0.24378597111566697</v>
      </c>
      <c r="BG11" s="1427">
        <v>0.23668540885016209</v>
      </c>
      <c r="BH11" s="1427">
        <v>0.22979165907782728</v>
      </c>
      <c r="BI11" s="1427">
        <v>0.22309869813381289</v>
      </c>
      <c r="BJ11" s="1427">
        <v>0.21660067779981834</v>
      </c>
      <c r="BK11" s="1427">
        <v>0.21029192019399839</v>
      </c>
      <c r="BL11" s="1427">
        <v>0.20416691280970717</v>
      </c>
      <c r="BM11" s="1427">
        <v>0.19822030369874483</v>
      </c>
      <c r="BN11" s="1427">
        <v>0.19244689679489788</v>
      </c>
      <c r="BO11" s="1427">
        <v>0.18684164737368725</v>
      </c>
      <c r="BP11" s="1427">
        <v>0.18139965764435656</v>
      </c>
      <c r="BQ11" s="1427">
        <v>0.17611617247024908</v>
      </c>
      <c r="BR11" s="1427">
        <v>0.17098657521383406</v>
      </c>
      <c r="BS11" s="1427">
        <v>0.1660063837027515</v>
      </c>
      <c r="BT11" s="1427">
        <v>0.16117124631335097</v>
      </c>
      <c r="BU11" s="1427">
        <v>0.15647693816830191</v>
      </c>
      <c r="BV11" s="1427">
        <v>0.1519193574449533</v>
      </c>
      <c r="BW11" s="1427">
        <v>0.1474945217912168</v>
      </c>
      <c r="BX11" s="1427">
        <v>0.14319856484584156</v>
      </c>
      <c r="BY11" s="1427">
        <v>0.13902773286004036</v>
      </c>
      <c r="BZ11" s="1427">
        <v>0.13497838141751492</v>
      </c>
      <c r="CA11" s="1427">
        <v>0.13104697225001449</v>
      </c>
      <c r="CB11" s="1427">
        <v>0.12723007014564514</v>
      </c>
      <c r="CC11" s="1427">
        <v>0.12352433994722828</v>
      </c>
      <c r="CD11" s="1427">
        <v>0.11992654363808571</v>
      </c>
      <c r="CE11" s="1427">
        <v>0.11643353751270456</v>
      </c>
      <c r="CF11" s="1427">
        <v>0.11304226942981026</v>
      </c>
      <c r="CG11" s="1427">
        <v>0.10974977614544684</v>
      </c>
      <c r="CH11" s="1427">
        <v>0.10655318072373479</v>
      </c>
      <c r="CI11" s="1427">
        <v>0.10344969002304348</v>
      </c>
      <c r="CJ11" s="1427">
        <v>0.10043659225538201</v>
      </c>
      <c r="CK11" s="1427">
        <v>9.7511254616875737E-2</v>
      </c>
      <c r="CL11" s="1427">
        <v>9.5132931333537313E-2</v>
      </c>
      <c r="CM11" s="1427">
        <v>9.2812615935158368E-2</v>
      </c>
      <c r="CN11" s="1427">
        <v>9.0548893595276458E-2</v>
      </c>
      <c r="CO11" s="1427">
        <v>8.834038399539168E-2</v>
      </c>
      <c r="CP11" s="1428">
        <v>8.6185740483308959E-2</v>
      </c>
    </row>
    <row r="12" spans="1:94" ht="28" x14ac:dyDescent="0.3">
      <c r="B12" s="1729"/>
      <c r="C12" s="1420" t="s">
        <v>1314</v>
      </c>
      <c r="D12" s="1421" t="s">
        <v>1315</v>
      </c>
      <c r="E12" s="1286" t="s">
        <v>1322</v>
      </c>
      <c r="F12" s="1260" t="s">
        <v>1323</v>
      </c>
      <c r="G12" s="1260"/>
      <c r="H12" s="1260" t="s">
        <v>1324</v>
      </c>
      <c r="I12" s="1261"/>
      <c r="J12" s="1259"/>
      <c r="K12" s="1259"/>
      <c r="L12" s="1259"/>
      <c r="M12" s="1259"/>
      <c r="N12" s="1426"/>
      <c r="O12" s="1427"/>
      <c r="P12" s="1427"/>
      <c r="Q12" s="1427"/>
      <c r="R12" s="1427"/>
      <c r="S12" s="1427"/>
      <c r="T12" s="1427"/>
      <c r="U12" s="1427"/>
      <c r="V12" s="1427"/>
      <c r="W12" s="1427"/>
      <c r="X12" s="1427"/>
      <c r="Y12" s="1427"/>
      <c r="Z12" s="1427"/>
      <c r="AA12" s="1427"/>
      <c r="AB12" s="1427"/>
      <c r="AC12" s="1427"/>
      <c r="AD12" s="1427"/>
      <c r="AE12" s="1427"/>
      <c r="AF12" s="1427"/>
      <c r="AG12" s="1427"/>
      <c r="AH12" s="1427"/>
      <c r="AI12" s="1427"/>
      <c r="AJ12" s="1427"/>
      <c r="AK12" s="1427"/>
      <c r="AL12" s="1427"/>
      <c r="AM12" s="1427"/>
      <c r="AN12" s="1427"/>
      <c r="AO12" s="1427"/>
      <c r="AP12" s="1427"/>
      <c r="AQ12" s="1427"/>
      <c r="AR12" s="1427"/>
      <c r="AS12" s="1427"/>
      <c r="AT12" s="1427"/>
      <c r="AU12" s="1427"/>
      <c r="AV12" s="1427"/>
      <c r="AW12" s="1427"/>
      <c r="AX12" s="1427"/>
      <c r="AY12" s="1427"/>
      <c r="AZ12" s="1427"/>
      <c r="BA12" s="1427"/>
      <c r="BB12" s="1427"/>
      <c r="BC12" s="1427"/>
      <c r="BD12" s="1427"/>
      <c r="BE12" s="1427"/>
      <c r="BF12" s="1427"/>
      <c r="BG12" s="1427"/>
      <c r="BH12" s="1427"/>
      <c r="BI12" s="1427"/>
      <c r="BJ12" s="1427"/>
      <c r="BK12" s="1427"/>
      <c r="BL12" s="1427"/>
      <c r="BM12" s="1427"/>
      <c r="BN12" s="1427"/>
      <c r="BO12" s="1427"/>
      <c r="BP12" s="1427"/>
      <c r="BQ12" s="1427"/>
      <c r="BR12" s="1427"/>
      <c r="BS12" s="1427"/>
      <c r="BT12" s="1427"/>
      <c r="BU12" s="1427"/>
      <c r="BV12" s="1427"/>
      <c r="BW12" s="1427"/>
      <c r="BX12" s="1427"/>
      <c r="BY12" s="1427"/>
      <c r="BZ12" s="1427"/>
      <c r="CA12" s="1427"/>
      <c r="CB12" s="1427"/>
      <c r="CC12" s="1427"/>
      <c r="CD12" s="1427"/>
      <c r="CE12" s="1427"/>
      <c r="CF12" s="1427"/>
      <c r="CG12" s="1427"/>
      <c r="CH12" s="1427"/>
      <c r="CI12" s="1427"/>
      <c r="CJ12" s="1427"/>
      <c r="CK12" s="1427"/>
      <c r="CL12" s="1427"/>
      <c r="CM12" s="1427"/>
      <c r="CN12" s="1427"/>
      <c r="CO12" s="1427"/>
      <c r="CP12" s="1428"/>
    </row>
    <row r="13" spans="1:94" ht="28" x14ac:dyDescent="0.3">
      <c r="B13" s="1729"/>
      <c r="C13" s="1420" t="s">
        <v>1314</v>
      </c>
      <c r="D13" s="1421" t="s">
        <v>1315</v>
      </c>
      <c r="E13" s="1432" t="s">
        <v>1322</v>
      </c>
      <c r="F13" s="1260" t="s">
        <v>1325</v>
      </c>
      <c r="G13" s="1260"/>
      <c r="H13" s="1285" t="s">
        <v>1324</v>
      </c>
      <c r="I13" s="1284"/>
      <c r="J13" s="1259"/>
      <c r="K13" s="1259"/>
      <c r="L13" s="1259"/>
      <c r="M13" s="1259"/>
      <c r="N13" s="1426"/>
      <c r="O13" s="1427"/>
      <c r="P13" s="1427"/>
      <c r="Q13" s="1427"/>
      <c r="R13" s="1427"/>
      <c r="S13" s="1427"/>
      <c r="T13" s="1427"/>
      <c r="U13" s="1427"/>
      <c r="V13" s="1427"/>
      <c r="W13" s="1427"/>
      <c r="X13" s="1427"/>
      <c r="Y13" s="1427"/>
      <c r="Z13" s="1427"/>
      <c r="AA13" s="1427"/>
      <c r="AB13" s="1427"/>
      <c r="AC13" s="1427"/>
      <c r="AD13" s="1427"/>
      <c r="AE13" s="1427"/>
      <c r="AF13" s="1427"/>
      <c r="AG13" s="1427"/>
      <c r="AH13" s="1427"/>
      <c r="AI13" s="1427"/>
      <c r="AJ13" s="1427"/>
      <c r="AK13" s="1427"/>
      <c r="AL13" s="1427"/>
      <c r="AM13" s="1427"/>
      <c r="AN13" s="1427"/>
      <c r="AO13" s="1427"/>
      <c r="AP13" s="1427"/>
      <c r="AQ13" s="1427"/>
      <c r="AR13" s="1427"/>
      <c r="AS13" s="1427"/>
      <c r="AT13" s="1427"/>
      <c r="AU13" s="1427"/>
      <c r="AV13" s="1427"/>
      <c r="AW13" s="1427"/>
      <c r="AX13" s="1427"/>
      <c r="AY13" s="1427"/>
      <c r="AZ13" s="1427"/>
      <c r="BA13" s="1427"/>
      <c r="BB13" s="1427"/>
      <c r="BC13" s="1427"/>
      <c r="BD13" s="1427"/>
      <c r="BE13" s="1427"/>
      <c r="BF13" s="1427"/>
      <c r="BG13" s="1427"/>
      <c r="BH13" s="1427"/>
      <c r="BI13" s="1427"/>
      <c r="BJ13" s="1427"/>
      <c r="BK13" s="1427"/>
      <c r="BL13" s="1427"/>
      <c r="BM13" s="1427"/>
      <c r="BN13" s="1427"/>
      <c r="BO13" s="1427"/>
      <c r="BP13" s="1427"/>
      <c r="BQ13" s="1427"/>
      <c r="BR13" s="1427"/>
      <c r="BS13" s="1427"/>
      <c r="BT13" s="1427"/>
      <c r="BU13" s="1427"/>
      <c r="BV13" s="1427"/>
      <c r="BW13" s="1427"/>
      <c r="BX13" s="1427"/>
      <c r="BY13" s="1427"/>
      <c r="BZ13" s="1427"/>
      <c r="CA13" s="1427"/>
      <c r="CB13" s="1427"/>
      <c r="CC13" s="1427"/>
      <c r="CD13" s="1427"/>
      <c r="CE13" s="1427"/>
      <c r="CF13" s="1427"/>
      <c r="CG13" s="1427"/>
      <c r="CH13" s="1427"/>
      <c r="CI13" s="1427"/>
      <c r="CJ13" s="1427"/>
      <c r="CK13" s="1427"/>
      <c r="CL13" s="1427"/>
      <c r="CM13" s="1427"/>
      <c r="CN13" s="1427"/>
      <c r="CO13" s="1427"/>
      <c r="CP13" s="1428"/>
    </row>
    <row r="14" spans="1:94" s="1278" customFormat="1" ht="28.5" thickBot="1" x14ac:dyDescent="0.35">
      <c r="B14" s="1729"/>
      <c r="C14" s="1420" t="s">
        <v>1314</v>
      </c>
      <c r="D14" s="1433" t="s">
        <v>1315</v>
      </c>
      <c r="E14" s="1433" t="s">
        <v>1326</v>
      </c>
      <c r="F14" s="1279"/>
      <c r="G14" s="1279"/>
      <c r="H14" s="1279" t="s">
        <v>163</v>
      </c>
      <c r="I14" s="1283"/>
      <c r="J14" s="1282"/>
      <c r="K14" s="1282"/>
      <c r="L14" s="1282"/>
      <c r="M14" s="1282"/>
      <c r="N14" s="1434" t="str">
        <f>IF((N8+N9)*N11&lt;&gt;0,(N8+N9)*N11,"")</f>
        <v/>
      </c>
      <c r="O14" s="1435">
        <v>3.3029609592383673E-3</v>
      </c>
      <c r="P14" s="1435">
        <v>9.5291432871991346E-3</v>
      </c>
      <c r="Q14" s="1435">
        <v>2.141085991534232E-2</v>
      </c>
      <c r="R14" s="1435">
        <v>3.8269498577349799E-2</v>
      </c>
      <c r="S14" s="1435">
        <v>5.6600128571066818E-2</v>
      </c>
      <c r="T14" s="1435">
        <v>5.9566494024257462E-2</v>
      </c>
      <c r="U14" s="1435">
        <v>5.6800175050987313E-2</v>
      </c>
      <c r="V14" s="1435">
        <v>5.4152832814101853E-2</v>
      </c>
      <c r="W14" s="1435">
        <v>5.1619584003550642E-2</v>
      </c>
      <c r="X14" s="1435">
        <v>4.91957395255413E-2</v>
      </c>
      <c r="Y14" s="1435">
        <v>4.6876796951452616E-2</v>
      </c>
      <c r="Z14" s="1435">
        <v>4.4658433255353104E-2</v>
      </c>
      <c r="AA14" s="1435">
        <v>4.2536497829240641E-2</v>
      </c>
      <c r="AB14" s="1435">
        <v>4.0507005765525475E-2</v>
      </c>
      <c r="AC14" s="1435">
        <v>3.8566131396669319E-2</v>
      </c>
      <c r="AD14" s="1435">
        <v>3.6710202082270313E-2</v>
      </c>
      <c r="AE14" s="1435">
        <v>3.493569223424605E-2</v>
      </c>
      <c r="AF14" s="1435">
        <v>3.3239217571116246E-2</v>
      </c>
      <c r="AG14" s="1435">
        <v>3.1617529592722904E-2</v>
      </c>
      <c r="AH14" s="1435">
        <v>3.0067510267049558E-2</v>
      </c>
      <c r="AI14" s="1435">
        <v>2.858616692111338E-2</v>
      </c>
      <c r="AJ14" s="1435">
        <v>2.7170627328203818E-2</v>
      </c>
      <c r="AK14" s="1435">
        <v>2.5818134984030926E-2</v>
      </c>
      <c r="AL14" s="1435">
        <v>2.4526044564624799E-2</v>
      </c>
      <c r="AM14" s="1435">
        <v>2.32918175590958E-2</v>
      </c>
      <c r="AN14" s="1435">
        <v>2.2368538685758044E-2</v>
      </c>
      <c r="AO14" s="1435">
        <v>2.1727948243448147E-2</v>
      </c>
      <c r="AP14" s="1435">
        <v>2.1582165659360993E-2</v>
      </c>
      <c r="AQ14" s="1435">
        <v>2.188232566846501E-2</v>
      </c>
      <c r="AR14" s="1435">
        <v>2.2360176156040055E-2</v>
      </c>
      <c r="AS14" s="1435">
        <v>2.1377969410213585E-2</v>
      </c>
      <c r="AT14" s="1435">
        <v>2.0434009641813498E-2</v>
      </c>
      <c r="AU14" s="1435">
        <v>1.9526902113226705E-2</v>
      </c>
      <c r="AV14" s="1435">
        <v>1.8655300887391379E-2</v>
      </c>
      <c r="AW14" s="1435">
        <v>1.7817907168252937E-2</v>
      </c>
      <c r="AX14" s="1435">
        <v>1.7013467696493232E-2</v>
      </c>
      <c r="AY14" s="1435">
        <v>1.6240773198721008E-2</v>
      </c>
      <c r="AZ14" s="1435">
        <v>1.5498656888370299E-2</v>
      </c>
      <c r="BA14" s="1435">
        <v>1.478599301661024E-2</v>
      </c>
      <c r="BB14" s="1435">
        <v>1.4101695471624844E-2</v>
      </c>
      <c r="BC14" s="1435">
        <v>1.3611442954609396E-2</v>
      </c>
      <c r="BD14" s="1435">
        <v>1.3299656273639066E-2</v>
      </c>
      <c r="BE14" s="1435">
        <v>1.3308796332319083E-2</v>
      </c>
      <c r="BF14" s="1435">
        <v>1.3611278165485649E-2</v>
      </c>
      <c r="BG14" s="1435">
        <v>1.4032983724801832E-2</v>
      </c>
      <c r="BH14" s="1435">
        <v>1.3411838584942017E-2</v>
      </c>
      <c r="BI14" s="1435">
        <v>1.2814971967366128E-2</v>
      </c>
      <c r="BJ14" s="1435">
        <v>1.2241496529203699E-2</v>
      </c>
      <c r="BK14" s="1435">
        <v>1.1690556021108014E-2</v>
      </c>
      <c r="BL14" s="1435">
        <v>1.1161324228748054E-2</v>
      </c>
      <c r="BM14" s="1435">
        <v>1.0772700828487455E-2</v>
      </c>
      <c r="BN14" s="1435">
        <v>1.0513457689892857E-2</v>
      </c>
      <c r="BO14" s="1435">
        <v>1.0485828796776354E-2</v>
      </c>
      <c r="BP14" s="1435">
        <v>1.0669969606515294E-2</v>
      </c>
      <c r="BQ14" s="1435">
        <v>1.0940837384330509E-2</v>
      </c>
      <c r="BR14" s="1435">
        <v>1.0464113679468076E-2</v>
      </c>
      <c r="BS14" s="1435">
        <v>1.0005878777805382E-2</v>
      </c>
      <c r="BT14" s="1435">
        <v>9.5654600837128938E-3</v>
      </c>
      <c r="BU14" s="1435">
        <v>9.1422084971657866E-3</v>
      </c>
      <c r="BV14" s="1435">
        <v>8.7354976156552178E-3</v>
      </c>
      <c r="BW14" s="1435">
        <v>8.3447229626580875E-3</v>
      </c>
      <c r="BX14" s="1435">
        <v>7.9693012417951219E-3</v>
      </c>
      <c r="BY14" s="1435">
        <v>7.6086696158354809E-3</v>
      </c>
      <c r="BZ14" s="1435">
        <v>7.2622850097332154E-3</v>
      </c>
      <c r="CA14" s="1435">
        <v>6.9296234369072892E-3</v>
      </c>
      <c r="CB14" s="1435">
        <v>6.6101793480024523E-3</v>
      </c>
      <c r="CC14" s="1435">
        <v>6.3034650013929312E-3</v>
      </c>
      <c r="CD14" s="1435">
        <v>6.009009854714851E-3</v>
      </c>
      <c r="CE14" s="1435">
        <v>5.7263599767364169E-3</v>
      </c>
      <c r="CF14" s="1435">
        <v>5.4550774788973185E-3</v>
      </c>
      <c r="CG14" s="1435">
        <v>5.1947399658705427E-3</v>
      </c>
      <c r="CH14" s="1435">
        <v>4.9449400045206903E-3</v>
      </c>
      <c r="CI14" s="1435">
        <v>4.705284610653295E-3</v>
      </c>
      <c r="CJ14" s="1435">
        <v>4.4753947529692674E-3</v>
      </c>
      <c r="CK14" s="1435">
        <v>4.2549048736576457E-3</v>
      </c>
      <c r="CL14" s="1435">
        <v>4.1206333958029662E-3</v>
      </c>
      <c r="CM14" s="1435">
        <v>4.0464261945088965E-3</v>
      </c>
      <c r="CN14" s="1435">
        <v>4.0827448713732862E-3</v>
      </c>
      <c r="CO14" s="1435">
        <v>4.2215748132711176E-3</v>
      </c>
      <c r="CP14" s="1436">
        <v>4.4032477359728425E-3</v>
      </c>
    </row>
    <row r="15" spans="1:94" s="1278" customFormat="1" ht="47" thickBot="1" x14ac:dyDescent="0.35">
      <c r="B15" s="1730"/>
      <c r="C15" s="1437" t="s">
        <v>1314</v>
      </c>
      <c r="D15" s="1438" t="s">
        <v>1315</v>
      </c>
      <c r="E15" s="1433" t="s">
        <v>1327</v>
      </c>
      <c r="F15" s="1279"/>
      <c r="G15" s="1279"/>
      <c r="H15" s="1279" t="s">
        <v>163</v>
      </c>
      <c r="I15" s="1731">
        <f>IF(SUM($N14:$CP14)&lt;&gt;0,SUM($N14:$CP14),"")</f>
        <v>1.5380779378244467</v>
      </c>
      <c r="J15" s="1732"/>
      <c r="K15" s="1732"/>
      <c r="L15" s="1732"/>
      <c r="M15" s="1732"/>
    </row>
    <row r="16" spans="1:94" ht="42" x14ac:dyDescent="0.3">
      <c r="B16" s="1728" t="s">
        <v>1313</v>
      </c>
      <c r="C16" s="1439" t="s">
        <v>1328</v>
      </c>
      <c r="D16" s="1440" t="s">
        <v>1329</v>
      </c>
      <c r="E16" s="1269" t="s">
        <v>1316</v>
      </c>
      <c r="F16" s="1288"/>
      <c r="G16" s="1288"/>
      <c r="H16" s="1270" t="s">
        <v>163</v>
      </c>
      <c r="I16" s="1266"/>
      <c r="J16" s="1265"/>
      <c r="K16" s="1265"/>
      <c r="L16" s="1265"/>
      <c r="M16" s="1265"/>
      <c r="N16" s="1423"/>
      <c r="O16" s="1424">
        <v>0.22302015510802822</v>
      </c>
      <c r="P16" s="1424">
        <v>0.44604031021605645</v>
      </c>
      <c r="Q16" s="1424">
        <v>0.89208062043211289</v>
      </c>
      <c r="R16" s="1424">
        <v>1.3381209306481692</v>
      </c>
      <c r="S16" s="1424">
        <v>1.5611410857561976</v>
      </c>
      <c r="T16" s="1424">
        <v>0</v>
      </c>
      <c r="U16" s="1424">
        <v>0</v>
      </c>
      <c r="V16" s="1424">
        <v>0</v>
      </c>
      <c r="W16" s="1424">
        <v>0</v>
      </c>
      <c r="X16" s="1424">
        <v>0</v>
      </c>
      <c r="Y16" s="1424">
        <v>0</v>
      </c>
      <c r="Z16" s="1424">
        <v>0</v>
      </c>
      <c r="AA16" s="1424">
        <v>0</v>
      </c>
      <c r="AB16" s="1424">
        <v>0</v>
      </c>
      <c r="AC16" s="1424">
        <v>0</v>
      </c>
      <c r="AD16" s="1424">
        <v>0</v>
      </c>
      <c r="AE16" s="1424">
        <v>0</v>
      </c>
      <c r="AF16" s="1424">
        <v>0</v>
      </c>
      <c r="AG16" s="1424">
        <v>0</v>
      </c>
      <c r="AH16" s="1424">
        <v>0</v>
      </c>
      <c r="AI16" s="1424">
        <v>0</v>
      </c>
      <c r="AJ16" s="1424">
        <v>0</v>
      </c>
      <c r="AK16" s="1424">
        <v>0</v>
      </c>
      <c r="AL16" s="1424">
        <v>0</v>
      </c>
      <c r="AM16" s="1424">
        <v>0</v>
      </c>
      <c r="AN16" s="1424">
        <v>5.8799558831506699E-2</v>
      </c>
      <c r="AO16" s="1424">
        <v>0.1175991176630134</v>
      </c>
      <c r="AP16" s="1424">
        <v>0.23519823532602679</v>
      </c>
      <c r="AQ16" s="1424">
        <v>0.35279735298904014</v>
      </c>
      <c r="AR16" s="1424">
        <v>0.41159691182054692</v>
      </c>
      <c r="AS16" s="1424">
        <v>0</v>
      </c>
      <c r="AT16" s="1424">
        <v>0</v>
      </c>
      <c r="AU16" s="1424">
        <v>0</v>
      </c>
      <c r="AV16" s="1424">
        <v>0</v>
      </c>
      <c r="AW16" s="1424">
        <v>0</v>
      </c>
      <c r="AX16" s="1424">
        <v>0</v>
      </c>
      <c r="AY16" s="1424">
        <v>0</v>
      </c>
      <c r="AZ16" s="1424">
        <v>0</v>
      </c>
      <c r="BA16" s="1424">
        <v>0</v>
      </c>
      <c r="BB16" s="1424">
        <v>0</v>
      </c>
      <c r="BC16" s="1424">
        <v>0.13948989035505441</v>
      </c>
      <c r="BD16" s="1424">
        <v>0.27897978071010882</v>
      </c>
      <c r="BE16" s="1424">
        <v>0.55795956142021763</v>
      </c>
      <c r="BF16" s="1424">
        <v>0.83693934213032639</v>
      </c>
      <c r="BG16" s="1424">
        <v>0.97642923248538072</v>
      </c>
      <c r="BH16" s="1424">
        <v>0</v>
      </c>
      <c r="BI16" s="1424">
        <v>0</v>
      </c>
      <c r="BJ16" s="1424">
        <v>0</v>
      </c>
      <c r="BK16" s="1424">
        <v>0</v>
      </c>
      <c r="BL16" s="1424">
        <v>0</v>
      </c>
      <c r="BM16" s="1424">
        <v>5.8799558831506699E-2</v>
      </c>
      <c r="BN16" s="1424">
        <v>0.1175991176630134</v>
      </c>
      <c r="BO16" s="1424">
        <v>0.23519823532602679</v>
      </c>
      <c r="BP16" s="1424">
        <v>0.35279735298904014</v>
      </c>
      <c r="BQ16" s="1424">
        <v>0.41159691182054692</v>
      </c>
      <c r="BR16" s="1424">
        <v>0</v>
      </c>
      <c r="BS16" s="1424">
        <v>0</v>
      </c>
      <c r="BT16" s="1424">
        <v>0</v>
      </c>
      <c r="BU16" s="1424">
        <v>0</v>
      </c>
      <c r="BV16" s="1424">
        <v>0</v>
      </c>
      <c r="BW16" s="1424">
        <v>0</v>
      </c>
      <c r="BX16" s="1424">
        <v>0</v>
      </c>
      <c r="BY16" s="1424">
        <v>0</v>
      </c>
      <c r="BZ16" s="1424">
        <v>0</v>
      </c>
      <c r="CA16" s="1424">
        <v>0</v>
      </c>
      <c r="CB16" s="1424">
        <v>0</v>
      </c>
      <c r="CC16" s="1424">
        <v>0</v>
      </c>
      <c r="CD16" s="1424">
        <v>0</v>
      </c>
      <c r="CE16" s="1424">
        <v>0</v>
      </c>
      <c r="CF16" s="1424">
        <v>0</v>
      </c>
      <c r="CG16" s="1424">
        <v>0</v>
      </c>
      <c r="CH16" s="1424">
        <v>0</v>
      </c>
      <c r="CI16" s="1424">
        <v>0</v>
      </c>
      <c r="CJ16" s="1424">
        <v>0</v>
      </c>
      <c r="CK16" s="1424">
        <v>0</v>
      </c>
      <c r="CL16" s="1424">
        <v>5.8799558831506699E-2</v>
      </c>
      <c r="CM16" s="1424">
        <v>0.1175991176630134</v>
      </c>
      <c r="CN16" s="1424">
        <v>0.23519823532602679</v>
      </c>
      <c r="CO16" s="1424">
        <v>0.35279735298904014</v>
      </c>
      <c r="CP16" s="1425">
        <v>0.41159691182054692</v>
      </c>
    </row>
    <row r="17" spans="2:94" ht="42" x14ac:dyDescent="0.3">
      <c r="B17" s="1729"/>
      <c r="C17" s="1441" t="s">
        <v>1328</v>
      </c>
      <c r="D17" s="1421" t="s">
        <v>1329</v>
      </c>
      <c r="E17" s="1260" t="s">
        <v>1317</v>
      </c>
      <c r="F17" s="1287"/>
      <c r="G17" s="1287"/>
      <c r="H17" s="1264" t="s">
        <v>1318</v>
      </c>
      <c r="I17" s="1261"/>
      <c r="J17" s="1259"/>
      <c r="K17" s="1259"/>
      <c r="L17" s="1259"/>
      <c r="M17" s="1259"/>
      <c r="N17" s="1426"/>
      <c r="O17" s="1427">
        <v>0</v>
      </c>
      <c r="P17" s="1427">
        <v>0</v>
      </c>
      <c r="Q17" s="1427">
        <v>0</v>
      </c>
      <c r="R17" s="1427">
        <v>0</v>
      </c>
      <c r="S17" s="1427">
        <v>0</v>
      </c>
      <c r="T17" s="1427">
        <v>8.0519340299821246E-2</v>
      </c>
      <c r="U17" s="1427">
        <v>8.0519340299821246E-2</v>
      </c>
      <c r="V17" s="1427">
        <v>8.0519340299821246E-2</v>
      </c>
      <c r="W17" s="1427">
        <v>8.0519340299821246E-2</v>
      </c>
      <c r="X17" s="1427">
        <v>8.0519340299821246E-2</v>
      </c>
      <c r="Y17" s="1427">
        <v>8.0519340299821246E-2</v>
      </c>
      <c r="Z17" s="1427">
        <v>8.0519340299821246E-2</v>
      </c>
      <c r="AA17" s="1427">
        <v>8.0519340299821246E-2</v>
      </c>
      <c r="AB17" s="1427">
        <v>8.0519340299821246E-2</v>
      </c>
      <c r="AC17" s="1427">
        <v>8.0519340299821246E-2</v>
      </c>
      <c r="AD17" s="1427">
        <v>8.0519340299821246E-2</v>
      </c>
      <c r="AE17" s="1427">
        <v>8.0519340299821246E-2</v>
      </c>
      <c r="AF17" s="1427">
        <v>8.0519340299821246E-2</v>
      </c>
      <c r="AG17" s="1427">
        <v>8.0519340299821246E-2</v>
      </c>
      <c r="AH17" s="1427">
        <v>8.0519340299821246E-2</v>
      </c>
      <c r="AI17" s="1427">
        <v>8.0519340299821246E-2</v>
      </c>
      <c r="AJ17" s="1427">
        <v>8.0519340299821246E-2</v>
      </c>
      <c r="AK17" s="1427">
        <v>8.0519340299821246E-2</v>
      </c>
      <c r="AL17" s="1427">
        <v>8.0519340299821246E-2</v>
      </c>
      <c r="AM17" s="1427">
        <v>8.0519340299821246E-2</v>
      </c>
      <c r="AN17" s="1427">
        <v>8.0519340299821246E-2</v>
      </c>
      <c r="AO17" s="1427">
        <v>8.0519340299821246E-2</v>
      </c>
      <c r="AP17" s="1427">
        <v>8.0519340299821246E-2</v>
      </c>
      <c r="AQ17" s="1427">
        <v>8.0519340299821246E-2</v>
      </c>
      <c r="AR17" s="1427">
        <v>8.0519340299821246E-2</v>
      </c>
      <c r="AS17" s="1427">
        <v>8.0519340299821246E-2</v>
      </c>
      <c r="AT17" s="1427">
        <v>8.0519340299821246E-2</v>
      </c>
      <c r="AU17" s="1427">
        <v>8.0519340299821246E-2</v>
      </c>
      <c r="AV17" s="1427">
        <v>8.0519340299821246E-2</v>
      </c>
      <c r="AW17" s="1427">
        <v>8.0519340299821246E-2</v>
      </c>
      <c r="AX17" s="1427">
        <v>8.0519340299821246E-2</v>
      </c>
      <c r="AY17" s="1427">
        <v>8.0519340299821246E-2</v>
      </c>
      <c r="AZ17" s="1427">
        <v>8.0519340299821246E-2</v>
      </c>
      <c r="BA17" s="1427">
        <v>8.0519340299821246E-2</v>
      </c>
      <c r="BB17" s="1427">
        <v>8.0519340299821246E-2</v>
      </c>
      <c r="BC17" s="1427">
        <v>8.0519340299821246E-2</v>
      </c>
      <c r="BD17" s="1427">
        <v>8.0519340299821246E-2</v>
      </c>
      <c r="BE17" s="1427">
        <v>8.0519340299821246E-2</v>
      </c>
      <c r="BF17" s="1427">
        <v>8.0519340299821246E-2</v>
      </c>
      <c r="BG17" s="1427">
        <v>8.0519340299821246E-2</v>
      </c>
      <c r="BH17" s="1427">
        <v>8.0519340299821246E-2</v>
      </c>
      <c r="BI17" s="1427">
        <v>8.0519340299821246E-2</v>
      </c>
      <c r="BJ17" s="1427">
        <v>8.0519340299821246E-2</v>
      </c>
      <c r="BK17" s="1427">
        <v>8.0519340299821246E-2</v>
      </c>
      <c r="BL17" s="1427">
        <v>8.0519340299821246E-2</v>
      </c>
      <c r="BM17" s="1427">
        <v>8.0519340299821246E-2</v>
      </c>
      <c r="BN17" s="1427">
        <v>8.0519340299821246E-2</v>
      </c>
      <c r="BO17" s="1427">
        <v>8.0519340299821246E-2</v>
      </c>
      <c r="BP17" s="1427">
        <v>8.0519340299821246E-2</v>
      </c>
      <c r="BQ17" s="1427">
        <v>8.0519340299821246E-2</v>
      </c>
      <c r="BR17" s="1427">
        <v>8.0519340299821246E-2</v>
      </c>
      <c r="BS17" s="1427">
        <v>8.0519340299821246E-2</v>
      </c>
      <c r="BT17" s="1427">
        <v>8.0519340299821246E-2</v>
      </c>
      <c r="BU17" s="1427">
        <v>8.0519340299821246E-2</v>
      </c>
      <c r="BV17" s="1427">
        <v>8.0519340299821246E-2</v>
      </c>
      <c r="BW17" s="1427">
        <v>8.0519340299821246E-2</v>
      </c>
      <c r="BX17" s="1427">
        <v>8.0519340299821246E-2</v>
      </c>
      <c r="BY17" s="1427">
        <v>8.0519340299821246E-2</v>
      </c>
      <c r="BZ17" s="1427">
        <v>8.0519340299821246E-2</v>
      </c>
      <c r="CA17" s="1427">
        <v>8.0519340299821246E-2</v>
      </c>
      <c r="CB17" s="1427">
        <v>8.0519340299821246E-2</v>
      </c>
      <c r="CC17" s="1427">
        <v>8.0519340299821246E-2</v>
      </c>
      <c r="CD17" s="1427">
        <v>8.0519340299821246E-2</v>
      </c>
      <c r="CE17" s="1427">
        <v>8.0519340299821246E-2</v>
      </c>
      <c r="CF17" s="1427">
        <v>8.0519340299821246E-2</v>
      </c>
      <c r="CG17" s="1427">
        <v>8.0519340299821246E-2</v>
      </c>
      <c r="CH17" s="1427">
        <v>8.0519340299821246E-2</v>
      </c>
      <c r="CI17" s="1427">
        <v>8.0519340299821246E-2</v>
      </c>
      <c r="CJ17" s="1427">
        <v>8.0519340299821246E-2</v>
      </c>
      <c r="CK17" s="1427">
        <v>8.0519340299821246E-2</v>
      </c>
      <c r="CL17" s="1427">
        <v>8.0519340299821246E-2</v>
      </c>
      <c r="CM17" s="1427">
        <v>8.0519340299821246E-2</v>
      </c>
      <c r="CN17" s="1427">
        <v>8.0519340299821246E-2</v>
      </c>
      <c r="CO17" s="1427">
        <v>8.0519340299821246E-2</v>
      </c>
      <c r="CP17" s="1428">
        <v>8.0519340299821246E-2</v>
      </c>
    </row>
    <row r="18" spans="2:94" ht="42" x14ac:dyDescent="0.3">
      <c r="B18" s="1729"/>
      <c r="C18" s="1441" t="s">
        <v>1328</v>
      </c>
      <c r="D18" s="1421" t="s">
        <v>1329</v>
      </c>
      <c r="E18" s="1260" t="s">
        <v>1319</v>
      </c>
      <c r="F18" s="1287"/>
      <c r="G18" s="1287"/>
      <c r="H18" s="1264" t="s">
        <v>1318</v>
      </c>
      <c r="I18" s="1261"/>
      <c r="J18" s="1259"/>
      <c r="K18" s="1259"/>
      <c r="L18" s="1259"/>
      <c r="M18" s="1259"/>
      <c r="N18" s="1426"/>
      <c r="O18" s="1427">
        <v>1.257078585914153E-2</v>
      </c>
      <c r="P18" s="1427">
        <v>3.7532825365088868E-2</v>
      </c>
      <c r="Q18" s="1427">
        <v>8.7277372164647815E-2</v>
      </c>
      <c r="R18" s="1427">
        <v>0.16144536183314689</v>
      </c>
      <c r="S18" s="1427">
        <v>0.24710694408677319</v>
      </c>
      <c r="T18" s="1427">
        <v>0.24351629984005865</v>
      </c>
      <c r="U18" s="1427">
        <v>0.23992565559334417</v>
      </c>
      <c r="V18" s="1427">
        <v>0.23633501134662968</v>
      </c>
      <c r="W18" s="1427">
        <v>0.23274436709991517</v>
      </c>
      <c r="X18" s="1427">
        <v>0.22915372285320065</v>
      </c>
      <c r="Y18" s="1427">
        <v>0.22556307860648614</v>
      </c>
      <c r="Z18" s="1427">
        <v>0.22197243435977163</v>
      </c>
      <c r="AA18" s="1427">
        <v>0.21838179011305711</v>
      </c>
      <c r="AB18" s="1427">
        <v>0.21479114586634263</v>
      </c>
      <c r="AC18" s="1427">
        <v>0.21120050161962811</v>
      </c>
      <c r="AD18" s="1427">
        <v>0.2076098573729136</v>
      </c>
      <c r="AE18" s="1427">
        <v>0.20401921312619914</v>
      </c>
      <c r="AF18" s="1427">
        <v>0.20042856887948463</v>
      </c>
      <c r="AG18" s="1427">
        <v>0.19683792463277011</v>
      </c>
      <c r="AH18" s="1427">
        <v>0.19324728038605563</v>
      </c>
      <c r="AI18" s="1427">
        <v>0.18965663613934111</v>
      </c>
      <c r="AJ18" s="1427">
        <v>0.18606599189262663</v>
      </c>
      <c r="AK18" s="1427">
        <v>0.18247534764591214</v>
      </c>
      <c r="AL18" s="1427">
        <v>0.1788847033991976</v>
      </c>
      <c r="AM18" s="1427">
        <v>0.17529405915248314</v>
      </c>
      <c r="AN18" s="1427">
        <v>0.17342036202364861</v>
      </c>
      <c r="AO18" s="1427">
        <v>0.17326361201269413</v>
      </c>
      <c r="AP18" s="1427">
        <v>0.1765407562374996</v>
      </c>
      <c r="AQ18" s="1427">
        <v>0.18325179469806505</v>
      </c>
      <c r="AR18" s="1427">
        <v>0.19167978027651053</v>
      </c>
      <c r="AS18" s="1427">
        <v>0.18808913602979604</v>
      </c>
      <c r="AT18" s="1427">
        <v>0.18449849178308153</v>
      </c>
      <c r="AU18" s="1427">
        <v>0.18090784753636704</v>
      </c>
      <c r="AV18" s="1427">
        <v>0.17731720328965253</v>
      </c>
      <c r="AW18" s="1427">
        <v>0.17372655904293804</v>
      </c>
      <c r="AX18" s="1427">
        <v>0.17013591479622356</v>
      </c>
      <c r="AY18" s="1427">
        <v>0.16654527054950904</v>
      </c>
      <c r="AZ18" s="1427">
        <v>0.1629546263027945</v>
      </c>
      <c r="BA18" s="1427">
        <v>0.15936398205608004</v>
      </c>
      <c r="BB18" s="1427">
        <v>0.15577333780936553</v>
      </c>
      <c r="BC18" s="1427">
        <v>0.15625579836101863</v>
      </c>
      <c r="BD18" s="1427">
        <v>0.1608113637110393</v>
      </c>
      <c r="BE18" s="1427">
        <v>0.17351313865779514</v>
      </c>
      <c r="BF18" s="1427">
        <v>0.19436112320128618</v>
      </c>
      <c r="BG18" s="1427">
        <v>0.21928221254314476</v>
      </c>
      <c r="BH18" s="1427">
        <v>0.21569156829643027</v>
      </c>
      <c r="BI18" s="1427">
        <v>0.21210092404971578</v>
      </c>
      <c r="BJ18" s="1427">
        <v>0.20851027980300127</v>
      </c>
      <c r="BK18" s="1427">
        <v>0.20491963555628676</v>
      </c>
      <c r="BL18" s="1427">
        <v>0.20132899130957224</v>
      </c>
      <c r="BM18" s="1427">
        <v>0.19945529418073774</v>
      </c>
      <c r="BN18" s="1427">
        <v>0.19929854416978324</v>
      </c>
      <c r="BO18" s="1427">
        <v>0.20257568839458873</v>
      </c>
      <c r="BP18" s="1427">
        <v>0.2092867268551542</v>
      </c>
      <c r="BQ18" s="1427">
        <v>0.21771471243359963</v>
      </c>
      <c r="BR18" s="1427">
        <v>0.21412406818688515</v>
      </c>
      <c r="BS18" s="1427">
        <v>0.21053342394017069</v>
      </c>
      <c r="BT18" s="1427">
        <v>0.20694277969345615</v>
      </c>
      <c r="BU18" s="1427">
        <v>0.20335213544674166</v>
      </c>
      <c r="BV18" s="1427">
        <v>0.19976149120002715</v>
      </c>
      <c r="BW18" s="1427">
        <v>0.19617084695331266</v>
      </c>
      <c r="BX18" s="1427">
        <v>0.19258020270659812</v>
      </c>
      <c r="BY18" s="1427">
        <v>0.18898955845988366</v>
      </c>
      <c r="BZ18" s="1427">
        <v>0.18539891421316915</v>
      </c>
      <c r="CA18" s="1427">
        <v>0.18180826996645463</v>
      </c>
      <c r="CB18" s="1427">
        <v>0.17821762571974017</v>
      </c>
      <c r="CC18" s="1427">
        <v>0.17462698147302563</v>
      </c>
      <c r="CD18" s="1427">
        <v>0.17103633722631117</v>
      </c>
      <c r="CE18" s="1427">
        <v>0.16744569297959663</v>
      </c>
      <c r="CF18" s="1427">
        <v>0.16385504873288215</v>
      </c>
      <c r="CG18" s="1427">
        <v>0.16026440448616766</v>
      </c>
      <c r="CH18" s="1427">
        <v>0.15667376023945317</v>
      </c>
      <c r="CI18" s="1427">
        <v>0.15308311599273863</v>
      </c>
      <c r="CJ18" s="1427">
        <v>0.14949247174602415</v>
      </c>
      <c r="CK18" s="1427">
        <v>0.14590182749930966</v>
      </c>
      <c r="CL18" s="1427">
        <v>0.14402813037047513</v>
      </c>
      <c r="CM18" s="1427">
        <v>0.14387138035952066</v>
      </c>
      <c r="CN18" s="1427">
        <v>0.14714852458432615</v>
      </c>
      <c r="CO18" s="1427">
        <v>0.15385956304489162</v>
      </c>
      <c r="CP18" s="1428">
        <v>0.16228754862333705</v>
      </c>
    </row>
    <row r="19" spans="2:94" ht="42" x14ac:dyDescent="0.3">
      <c r="B19" s="1729"/>
      <c r="C19" s="1441" t="s">
        <v>1328</v>
      </c>
      <c r="D19" s="1421" t="s">
        <v>1329</v>
      </c>
      <c r="E19" s="1260" t="s">
        <v>1320</v>
      </c>
      <c r="F19" s="1287"/>
      <c r="G19" s="1287"/>
      <c r="H19" s="1264" t="s">
        <v>1318</v>
      </c>
      <c r="I19" s="1261"/>
      <c r="J19" s="1259"/>
      <c r="K19" s="1259"/>
      <c r="L19" s="1259"/>
      <c r="M19" s="1259"/>
      <c r="N19" s="1426"/>
      <c r="O19" s="1427"/>
      <c r="P19" s="1427">
        <v>3.5000000000000003E-2</v>
      </c>
      <c r="Q19" s="1427">
        <v>3.5000000000000003E-2</v>
      </c>
      <c r="R19" s="1427">
        <v>3.5000000000000003E-2</v>
      </c>
      <c r="S19" s="1427">
        <v>3.5000000000000003E-2</v>
      </c>
      <c r="T19" s="1427">
        <v>3.5000000000000003E-2</v>
      </c>
      <c r="U19" s="1427">
        <v>3.5000000000000003E-2</v>
      </c>
      <c r="V19" s="1427">
        <v>3.5000000000000003E-2</v>
      </c>
      <c r="W19" s="1427">
        <v>3.5000000000000003E-2</v>
      </c>
      <c r="X19" s="1427">
        <v>3.5000000000000003E-2</v>
      </c>
      <c r="Y19" s="1427">
        <v>3.5000000000000003E-2</v>
      </c>
      <c r="Z19" s="1427">
        <v>3.5000000000000003E-2</v>
      </c>
      <c r="AA19" s="1427">
        <v>3.5000000000000003E-2</v>
      </c>
      <c r="AB19" s="1427">
        <v>3.5000000000000003E-2</v>
      </c>
      <c r="AC19" s="1427">
        <v>3.5000000000000003E-2</v>
      </c>
      <c r="AD19" s="1427">
        <v>3.5000000000000003E-2</v>
      </c>
      <c r="AE19" s="1427">
        <v>3.5000000000000003E-2</v>
      </c>
      <c r="AF19" s="1427">
        <v>3.5000000000000003E-2</v>
      </c>
      <c r="AG19" s="1427">
        <v>3.5000000000000003E-2</v>
      </c>
      <c r="AH19" s="1427">
        <v>3.5000000000000003E-2</v>
      </c>
      <c r="AI19" s="1427">
        <v>3.5000000000000003E-2</v>
      </c>
      <c r="AJ19" s="1427">
        <v>3.5000000000000003E-2</v>
      </c>
      <c r="AK19" s="1427">
        <v>3.5000000000000003E-2</v>
      </c>
      <c r="AL19" s="1427">
        <v>3.5000000000000003E-2</v>
      </c>
      <c r="AM19" s="1427">
        <v>3.5000000000000003E-2</v>
      </c>
      <c r="AN19" s="1427">
        <v>3.5000000000000003E-2</v>
      </c>
      <c r="AO19" s="1427">
        <v>3.5000000000000003E-2</v>
      </c>
      <c r="AP19" s="1427">
        <v>3.5000000000000003E-2</v>
      </c>
      <c r="AQ19" s="1427">
        <v>3.5000000000000003E-2</v>
      </c>
      <c r="AR19" s="1427">
        <v>3.5000000000000003E-2</v>
      </c>
      <c r="AS19" s="1427">
        <v>0.03</v>
      </c>
      <c r="AT19" s="1427">
        <v>0.03</v>
      </c>
      <c r="AU19" s="1427">
        <v>0.03</v>
      </c>
      <c r="AV19" s="1427">
        <v>0.03</v>
      </c>
      <c r="AW19" s="1427">
        <v>0.03</v>
      </c>
      <c r="AX19" s="1427">
        <v>0.03</v>
      </c>
      <c r="AY19" s="1427">
        <v>0.03</v>
      </c>
      <c r="AZ19" s="1427">
        <v>0.03</v>
      </c>
      <c r="BA19" s="1427">
        <v>0.03</v>
      </c>
      <c r="BB19" s="1427">
        <v>0.03</v>
      </c>
      <c r="BC19" s="1427">
        <v>0.03</v>
      </c>
      <c r="BD19" s="1427">
        <v>0.03</v>
      </c>
      <c r="BE19" s="1427">
        <v>0.03</v>
      </c>
      <c r="BF19" s="1427">
        <v>0.03</v>
      </c>
      <c r="BG19" s="1427">
        <v>0.03</v>
      </c>
      <c r="BH19" s="1427">
        <v>0.03</v>
      </c>
      <c r="BI19" s="1427">
        <v>0.03</v>
      </c>
      <c r="BJ19" s="1427">
        <v>0.03</v>
      </c>
      <c r="BK19" s="1427">
        <v>0.03</v>
      </c>
      <c r="BL19" s="1427">
        <v>0.03</v>
      </c>
      <c r="BM19" s="1427">
        <v>0.03</v>
      </c>
      <c r="BN19" s="1427">
        <v>0.03</v>
      </c>
      <c r="BO19" s="1427">
        <v>0.03</v>
      </c>
      <c r="BP19" s="1427">
        <v>0.03</v>
      </c>
      <c r="BQ19" s="1427">
        <v>0.03</v>
      </c>
      <c r="BR19" s="1427">
        <v>0.03</v>
      </c>
      <c r="BS19" s="1427">
        <v>0.03</v>
      </c>
      <c r="BT19" s="1427">
        <v>0.03</v>
      </c>
      <c r="BU19" s="1427">
        <v>0.03</v>
      </c>
      <c r="BV19" s="1427">
        <v>0.03</v>
      </c>
      <c r="BW19" s="1427">
        <v>0.03</v>
      </c>
      <c r="BX19" s="1427">
        <v>0.03</v>
      </c>
      <c r="BY19" s="1427">
        <v>0.03</v>
      </c>
      <c r="BZ19" s="1427">
        <v>0.03</v>
      </c>
      <c r="CA19" s="1427">
        <v>0.03</v>
      </c>
      <c r="CB19" s="1427">
        <v>0.03</v>
      </c>
      <c r="CC19" s="1427">
        <v>0.03</v>
      </c>
      <c r="CD19" s="1427">
        <v>0.03</v>
      </c>
      <c r="CE19" s="1427">
        <v>0.03</v>
      </c>
      <c r="CF19" s="1427">
        <v>0.03</v>
      </c>
      <c r="CG19" s="1427">
        <v>0.03</v>
      </c>
      <c r="CH19" s="1427">
        <v>0.03</v>
      </c>
      <c r="CI19" s="1427">
        <v>0.03</v>
      </c>
      <c r="CJ19" s="1427">
        <v>0.03</v>
      </c>
      <c r="CK19" s="1427">
        <v>0.03</v>
      </c>
      <c r="CL19" s="1427">
        <v>2.5000000000000001E-2</v>
      </c>
      <c r="CM19" s="1427">
        <v>2.5000000000000001E-2</v>
      </c>
      <c r="CN19" s="1427">
        <v>2.5000000000000001E-2</v>
      </c>
      <c r="CO19" s="1427">
        <v>2.5000000000000001E-2</v>
      </c>
      <c r="CP19" s="1428">
        <v>2.5000000000000001E-2</v>
      </c>
    </row>
    <row r="20" spans="2:94" ht="42" x14ac:dyDescent="0.3">
      <c r="B20" s="1729"/>
      <c r="C20" s="1441" t="s">
        <v>1328</v>
      </c>
      <c r="D20" s="1421" t="s">
        <v>1329</v>
      </c>
      <c r="E20" s="1260" t="s">
        <v>1321</v>
      </c>
      <c r="F20" s="1287"/>
      <c r="G20" s="1287"/>
      <c r="H20" s="1264" t="s">
        <v>1318</v>
      </c>
      <c r="I20" s="1261"/>
      <c r="J20" s="1259"/>
      <c r="K20" s="1259"/>
      <c r="L20" s="1259"/>
      <c r="M20" s="1259"/>
      <c r="N20" s="1426"/>
      <c r="O20" s="1427">
        <v>1</v>
      </c>
      <c r="P20" s="1427">
        <v>0.96618357487922713</v>
      </c>
      <c r="Q20" s="1427">
        <v>0.93351070036640305</v>
      </c>
      <c r="R20" s="1427">
        <v>0.90194270566802237</v>
      </c>
      <c r="S20" s="1427">
        <v>0.87144222769857238</v>
      </c>
      <c r="T20" s="1427">
        <v>0.84197316685852408</v>
      </c>
      <c r="U20" s="1427">
        <v>0.81350064430775282</v>
      </c>
      <c r="V20" s="1427">
        <v>0.78599096068381924</v>
      </c>
      <c r="W20" s="1427">
        <v>0.75941155621625056</v>
      </c>
      <c r="X20" s="1427">
        <v>0.73373097218961414</v>
      </c>
      <c r="Y20" s="1427">
        <v>0.70891881370977217</v>
      </c>
      <c r="Z20" s="1427">
        <v>0.68494571372924851</v>
      </c>
      <c r="AA20" s="1427">
        <v>0.66178329828912907</v>
      </c>
      <c r="AB20" s="1427">
        <v>0.63940415293635666</v>
      </c>
      <c r="AC20" s="1427">
        <v>0.61778179027667313</v>
      </c>
      <c r="AD20" s="1427">
        <v>0.59689061862480497</v>
      </c>
      <c r="AE20" s="1427">
        <v>0.57670591171478747</v>
      </c>
      <c r="AF20" s="1427">
        <v>0.55720377943457733</v>
      </c>
      <c r="AG20" s="1427">
        <v>0.53836113955031628</v>
      </c>
      <c r="AH20" s="1427">
        <v>0.520155690386779</v>
      </c>
      <c r="AI20" s="1427">
        <v>0.50256588443167061</v>
      </c>
      <c r="AJ20" s="1427">
        <v>0.48557090283253201</v>
      </c>
      <c r="AK20" s="1427">
        <v>0.46915063075606961</v>
      </c>
      <c r="AL20" s="1427">
        <v>0.45328563358074364</v>
      </c>
      <c r="AM20" s="1427">
        <v>0.43795713389443836</v>
      </c>
      <c r="AN20" s="1427">
        <v>0.42314698926998878</v>
      </c>
      <c r="AO20" s="1427">
        <v>0.40883767079225974</v>
      </c>
      <c r="AP20" s="1427">
        <v>0.39501224231136212</v>
      </c>
      <c r="AQ20" s="1427">
        <v>0.38165434039745133</v>
      </c>
      <c r="AR20" s="1427">
        <v>0.36874815497338298</v>
      </c>
      <c r="AS20" s="1427">
        <v>0.35800791744988636</v>
      </c>
      <c r="AT20" s="1427">
        <v>0.34758050237853044</v>
      </c>
      <c r="AU20" s="1427">
        <v>0.33745679842575771</v>
      </c>
      <c r="AV20" s="1427">
        <v>0.32762795963665797</v>
      </c>
      <c r="AW20" s="1427">
        <v>0.31808539770549316</v>
      </c>
      <c r="AX20" s="1427">
        <v>0.30882077447135259</v>
      </c>
      <c r="AY20" s="1427">
        <v>0.29982599463238113</v>
      </c>
      <c r="AZ20" s="1427">
        <v>0.29109319867221467</v>
      </c>
      <c r="BA20" s="1427">
        <v>0.2826147559924414</v>
      </c>
      <c r="BB20" s="1427">
        <v>0.27438325824508875</v>
      </c>
      <c r="BC20" s="1427">
        <v>0.26639151285930945</v>
      </c>
      <c r="BD20" s="1427">
        <v>0.25863253675661113</v>
      </c>
      <c r="BE20" s="1427">
        <v>0.25109955024913699</v>
      </c>
      <c r="BF20" s="1427">
        <v>0.24378597111566697</v>
      </c>
      <c r="BG20" s="1427">
        <v>0.23668540885016209</v>
      </c>
      <c r="BH20" s="1427">
        <v>0.22979165907782728</v>
      </c>
      <c r="BI20" s="1427">
        <v>0.22309869813381289</v>
      </c>
      <c r="BJ20" s="1427">
        <v>0.21660067779981834</v>
      </c>
      <c r="BK20" s="1427">
        <v>0.21029192019399839</v>
      </c>
      <c r="BL20" s="1427">
        <v>0.20416691280970717</v>
      </c>
      <c r="BM20" s="1427">
        <v>0.19822030369874483</v>
      </c>
      <c r="BN20" s="1427">
        <v>0.19244689679489788</v>
      </c>
      <c r="BO20" s="1427">
        <v>0.18684164737368725</v>
      </c>
      <c r="BP20" s="1427">
        <v>0.18139965764435656</v>
      </c>
      <c r="BQ20" s="1427">
        <v>0.17611617247024908</v>
      </c>
      <c r="BR20" s="1427">
        <v>0.17098657521383406</v>
      </c>
      <c r="BS20" s="1427">
        <v>0.1660063837027515</v>
      </c>
      <c r="BT20" s="1427">
        <v>0.16117124631335097</v>
      </c>
      <c r="BU20" s="1427">
        <v>0.15647693816830191</v>
      </c>
      <c r="BV20" s="1427">
        <v>0.1519193574449533</v>
      </c>
      <c r="BW20" s="1427">
        <v>0.1474945217912168</v>
      </c>
      <c r="BX20" s="1427">
        <v>0.14319856484584156</v>
      </c>
      <c r="BY20" s="1427">
        <v>0.13902773286004036</v>
      </c>
      <c r="BZ20" s="1427">
        <v>0.13497838141751492</v>
      </c>
      <c r="CA20" s="1427">
        <v>0.13104697225001449</v>
      </c>
      <c r="CB20" s="1427">
        <v>0.12723007014564514</v>
      </c>
      <c r="CC20" s="1427">
        <v>0.12352433994722828</v>
      </c>
      <c r="CD20" s="1427">
        <v>0.11992654363808571</v>
      </c>
      <c r="CE20" s="1427">
        <v>0.11643353751270456</v>
      </c>
      <c r="CF20" s="1427">
        <v>0.11304226942981026</v>
      </c>
      <c r="CG20" s="1427">
        <v>0.10974977614544684</v>
      </c>
      <c r="CH20" s="1427">
        <v>0.10655318072373479</v>
      </c>
      <c r="CI20" s="1427">
        <v>0.10344969002304348</v>
      </c>
      <c r="CJ20" s="1427">
        <v>0.10043659225538201</v>
      </c>
      <c r="CK20" s="1427">
        <v>9.7511254616875737E-2</v>
      </c>
      <c r="CL20" s="1427">
        <v>9.5132931333537313E-2</v>
      </c>
      <c r="CM20" s="1427">
        <v>9.2812615935158368E-2</v>
      </c>
      <c r="CN20" s="1427">
        <v>9.0548893595276458E-2</v>
      </c>
      <c r="CO20" s="1427">
        <v>8.834038399539168E-2</v>
      </c>
      <c r="CP20" s="1428">
        <v>8.6185740483308959E-2</v>
      </c>
    </row>
    <row r="21" spans="2:94" ht="42" x14ac:dyDescent="0.3">
      <c r="B21" s="1729"/>
      <c r="C21" s="1441" t="s">
        <v>1328</v>
      </c>
      <c r="D21" s="1421" t="s">
        <v>1329</v>
      </c>
      <c r="E21" s="1260" t="s">
        <v>1322</v>
      </c>
      <c r="F21" s="1260" t="s">
        <v>1330</v>
      </c>
      <c r="G21" s="1260"/>
      <c r="H21" s="1260" t="s">
        <v>1324</v>
      </c>
      <c r="I21" s="1261"/>
      <c r="J21" s="1259"/>
      <c r="K21" s="1259"/>
      <c r="L21" s="1259"/>
      <c r="M21" s="1259"/>
      <c r="N21" s="1426"/>
      <c r="O21" s="1427"/>
      <c r="P21" s="1427"/>
      <c r="Q21" s="1427"/>
      <c r="R21" s="1427"/>
      <c r="S21" s="1427"/>
      <c r="T21" s="1427"/>
      <c r="U21" s="1427"/>
      <c r="V21" s="1427"/>
      <c r="W21" s="1427"/>
      <c r="X21" s="1427"/>
      <c r="Y21" s="1427"/>
      <c r="Z21" s="1427"/>
      <c r="AA21" s="1427"/>
      <c r="AB21" s="1427"/>
      <c r="AC21" s="1427"/>
      <c r="AD21" s="1427"/>
      <c r="AE21" s="1427"/>
      <c r="AF21" s="1427"/>
      <c r="AG21" s="1427"/>
      <c r="AH21" s="1427"/>
      <c r="AI21" s="1427"/>
      <c r="AJ21" s="1427"/>
      <c r="AK21" s="1427"/>
      <c r="AL21" s="1427"/>
      <c r="AM21" s="1427"/>
      <c r="AN21" s="1427"/>
      <c r="AO21" s="1427"/>
      <c r="AP21" s="1427"/>
      <c r="AQ21" s="1427"/>
      <c r="AR21" s="1427"/>
      <c r="AS21" s="1427"/>
      <c r="AT21" s="1427"/>
      <c r="AU21" s="1427"/>
      <c r="AV21" s="1427"/>
      <c r="AW21" s="1427"/>
      <c r="AX21" s="1427"/>
      <c r="AY21" s="1427"/>
      <c r="AZ21" s="1427"/>
      <c r="BA21" s="1427"/>
      <c r="BB21" s="1427"/>
      <c r="BC21" s="1427"/>
      <c r="BD21" s="1427"/>
      <c r="BE21" s="1427"/>
      <c r="BF21" s="1427"/>
      <c r="BG21" s="1427"/>
      <c r="BH21" s="1427"/>
      <c r="BI21" s="1427"/>
      <c r="BJ21" s="1427"/>
      <c r="BK21" s="1427"/>
      <c r="BL21" s="1427"/>
      <c r="BM21" s="1427"/>
      <c r="BN21" s="1427"/>
      <c r="BO21" s="1427"/>
      <c r="BP21" s="1427"/>
      <c r="BQ21" s="1427"/>
      <c r="BR21" s="1427"/>
      <c r="BS21" s="1427"/>
      <c r="BT21" s="1427"/>
      <c r="BU21" s="1427"/>
      <c r="BV21" s="1427"/>
      <c r="BW21" s="1427"/>
      <c r="BX21" s="1427"/>
      <c r="BY21" s="1427"/>
      <c r="BZ21" s="1427"/>
      <c r="CA21" s="1427"/>
      <c r="CB21" s="1427"/>
      <c r="CC21" s="1427"/>
      <c r="CD21" s="1427"/>
      <c r="CE21" s="1427"/>
      <c r="CF21" s="1427"/>
      <c r="CG21" s="1427"/>
      <c r="CH21" s="1427"/>
      <c r="CI21" s="1427"/>
      <c r="CJ21" s="1427"/>
      <c r="CK21" s="1427"/>
      <c r="CL21" s="1427"/>
      <c r="CM21" s="1427"/>
      <c r="CN21" s="1427"/>
      <c r="CO21" s="1427"/>
      <c r="CP21" s="1428"/>
    </row>
    <row r="22" spans="2:94" ht="42" x14ac:dyDescent="0.3">
      <c r="B22" s="1729"/>
      <c r="C22" s="1441" t="s">
        <v>1328</v>
      </c>
      <c r="D22" s="1421" t="s">
        <v>1329</v>
      </c>
      <c r="E22" s="1264" t="s">
        <v>1322</v>
      </c>
      <c r="F22" s="1260" t="s">
        <v>1325</v>
      </c>
      <c r="G22" s="1260"/>
      <c r="H22" s="1285" t="s">
        <v>1324</v>
      </c>
      <c r="I22" s="1284"/>
      <c r="J22" s="1259"/>
      <c r="K22" s="1259"/>
      <c r="L22" s="1259"/>
      <c r="M22" s="1259"/>
      <c r="N22" s="1426"/>
      <c r="O22" s="1427"/>
      <c r="P22" s="1427"/>
      <c r="Q22" s="1427"/>
      <c r="R22" s="1427"/>
      <c r="S22" s="1427"/>
      <c r="T22" s="1427"/>
      <c r="U22" s="1427"/>
      <c r="V22" s="1427"/>
      <c r="W22" s="1427"/>
      <c r="X22" s="1427"/>
      <c r="Y22" s="1427"/>
      <c r="Z22" s="1427"/>
      <c r="AA22" s="1427"/>
      <c r="AB22" s="1427"/>
      <c r="AC22" s="1427"/>
      <c r="AD22" s="1427"/>
      <c r="AE22" s="1427"/>
      <c r="AF22" s="1427"/>
      <c r="AG22" s="1427"/>
      <c r="AH22" s="1427"/>
      <c r="AI22" s="1427"/>
      <c r="AJ22" s="1427"/>
      <c r="AK22" s="1427"/>
      <c r="AL22" s="1427"/>
      <c r="AM22" s="1427"/>
      <c r="AN22" s="1427"/>
      <c r="AO22" s="1427"/>
      <c r="AP22" s="1427"/>
      <c r="AQ22" s="1427"/>
      <c r="AR22" s="1427"/>
      <c r="AS22" s="1427"/>
      <c r="AT22" s="1427"/>
      <c r="AU22" s="1427"/>
      <c r="AV22" s="1427"/>
      <c r="AW22" s="1427"/>
      <c r="AX22" s="1427"/>
      <c r="AY22" s="1427"/>
      <c r="AZ22" s="1427"/>
      <c r="BA22" s="1427"/>
      <c r="BB22" s="1427"/>
      <c r="BC22" s="1427"/>
      <c r="BD22" s="1427"/>
      <c r="BE22" s="1427"/>
      <c r="BF22" s="1427"/>
      <c r="BG22" s="1427"/>
      <c r="BH22" s="1427"/>
      <c r="BI22" s="1427"/>
      <c r="BJ22" s="1427"/>
      <c r="BK22" s="1427"/>
      <c r="BL22" s="1427"/>
      <c r="BM22" s="1427"/>
      <c r="BN22" s="1427"/>
      <c r="BO22" s="1427"/>
      <c r="BP22" s="1427"/>
      <c r="BQ22" s="1427"/>
      <c r="BR22" s="1427"/>
      <c r="BS22" s="1427"/>
      <c r="BT22" s="1427"/>
      <c r="BU22" s="1427"/>
      <c r="BV22" s="1427"/>
      <c r="BW22" s="1427"/>
      <c r="BX22" s="1427"/>
      <c r="BY22" s="1427"/>
      <c r="BZ22" s="1427"/>
      <c r="CA22" s="1427"/>
      <c r="CB22" s="1427"/>
      <c r="CC22" s="1427"/>
      <c r="CD22" s="1427"/>
      <c r="CE22" s="1427"/>
      <c r="CF22" s="1427"/>
      <c r="CG22" s="1427"/>
      <c r="CH22" s="1427"/>
      <c r="CI22" s="1427"/>
      <c r="CJ22" s="1427"/>
      <c r="CK22" s="1427"/>
      <c r="CL22" s="1427"/>
      <c r="CM22" s="1427"/>
      <c r="CN22" s="1427"/>
      <c r="CO22" s="1427"/>
      <c r="CP22" s="1428"/>
    </row>
    <row r="23" spans="2:94" s="1278" customFormat="1" ht="42.5" thickBot="1" x14ac:dyDescent="0.35">
      <c r="B23" s="1729"/>
      <c r="C23" s="1441" t="s">
        <v>1328</v>
      </c>
      <c r="D23" s="1421" t="s">
        <v>1329</v>
      </c>
      <c r="E23" s="1280" t="s">
        <v>1326</v>
      </c>
      <c r="F23" s="1279"/>
      <c r="G23" s="1279"/>
      <c r="H23" s="1279" t="s">
        <v>163</v>
      </c>
      <c r="I23" s="1283"/>
      <c r="J23" s="1282"/>
      <c r="K23" s="1282"/>
      <c r="L23" s="1282"/>
      <c r="M23" s="1282"/>
      <c r="N23" s="1434"/>
      <c r="O23" s="1435">
        <v>1.2570785432697273E-2</v>
      </c>
      <c r="P23" s="1435">
        <v>3.6263598160103966E-2</v>
      </c>
      <c r="Q23" s="1435">
        <v>8.1474358066087021E-2</v>
      </c>
      <c r="R23" s="1435">
        <v>0.14561446156790631</v>
      </c>
      <c r="S23" s="1435">
        <v>0.21533941861046563</v>
      </c>
      <c r="T23" s="1435">
        <v>0.27282930729118332</v>
      </c>
      <c r="U23" s="1435">
        <v>0.26068220420414784</v>
      </c>
      <c r="V23" s="1435">
        <v>0.24904465020084735</v>
      </c>
      <c r="W23" s="1435">
        <v>0.23789607385153086</v>
      </c>
      <c r="X23" s="1435">
        <v>0.22721671233571059</v>
      </c>
      <c r="Y23" s="1435">
        <v>0.21698758027808349</v>
      </c>
      <c r="Z23" s="1435">
        <v>0.20719043976748333</v>
      </c>
      <c r="AA23" s="1435">
        <v>0.1978077715144875</v>
      </c>
      <c r="AB23" s="1435">
        <v>0.18882274710495547</v>
      </c>
      <c r="AC23" s="1435">
        <v>0.18021920230835747</v>
      </c>
      <c r="AD23" s="1435">
        <v>0.17198161140128781</v>
      </c>
      <c r="AE23" s="1435">
        <v>0.16409506246802333</v>
      </c>
      <c r="AF23" s="1435">
        <v>0.15654523364141099</v>
      </c>
      <c r="AG23" s="1435">
        <v>0.14931837024873149</v>
      </c>
      <c r="AH23" s="1435">
        <v>0.14240126282850307</v>
      </c>
      <c r="AI23" s="1435">
        <v>0.13578122598545578</v>
      </c>
      <c r="AJ23" s="1435">
        <v>0.12944607805212763</v>
      </c>
      <c r="AK23" s="1435">
        <v>0.12338412152670857</v>
      </c>
      <c r="AL23" s="1435">
        <v>0.11758412425789083</v>
      </c>
      <c r="AM23" s="1435">
        <v>0.11203530134857334</v>
      </c>
      <c r="AN23" s="1435">
        <v>0.10745381874816219</v>
      </c>
      <c r="AO23" s="1435">
        <v>0.10375602949133546</v>
      </c>
      <c r="AP23" s="1435">
        <v>0.1015418836309738</v>
      </c>
      <c r="AQ23" s="1435">
        <v>0.10066939712263173</v>
      </c>
      <c r="AR23" s="1435">
        <v>0.10037292215684707</v>
      </c>
      <c r="AS23" s="1435">
        <v>9.6163959989414918E-2</v>
      </c>
      <c r="AT23" s="1435">
        <v>9.2115030088931724E-2</v>
      </c>
      <c r="AU23" s="1435">
        <v>8.8220380802888507E-2</v>
      </c>
      <c r="AV23" s="1435">
        <v>8.4474459765311177E-2</v>
      </c>
      <c r="AW23" s="1435">
        <v>8.0871907167171742E-2</v>
      </c>
      <c r="AX23" s="1435">
        <v>7.7407549249752683E-2</v>
      </c>
      <c r="AY23" s="1435">
        <v>7.4076392013685335E-2</v>
      </c>
      <c r="AZ23" s="1435">
        <v>7.0873615136619009E-2</v>
      </c>
      <c r="BA23" s="1435">
        <v>6.779456609270415E-2</v>
      </c>
      <c r="BB23" s="1435">
        <v>6.4834754467293365E-2</v>
      </c>
      <c r="BC23" s="1435">
        <v>6.3074886831257462E-2</v>
      </c>
      <c r="BD23" s="1435">
        <v>6.2415971332831374E-2</v>
      </c>
      <c r="BE23" s="1435">
        <v>6.3787439773716495E-2</v>
      </c>
      <c r="BF23" s="1435">
        <v>6.7011998404556711E-2</v>
      </c>
      <c r="BG23" s="1435">
        <v>7.0958649782649513E-2</v>
      </c>
      <c r="BH23" s="1435">
        <v>6.8066792939988352E-2</v>
      </c>
      <c r="BI23" s="1435">
        <v>6.5283196977779678E-2</v>
      </c>
      <c r="BJ23" s="1435">
        <v>6.2604008704154779E-2</v>
      </c>
      <c r="BK23" s="1435">
        <v>6.002550754338689E-2</v>
      </c>
      <c r="BL23" s="1435">
        <v>5.7544101079481776E-2</v>
      </c>
      <c r="BM23" s="1435">
        <v>5.5496654522806443E-2</v>
      </c>
      <c r="BN23" s="1435">
        <v>5.3850081088436787E-2</v>
      </c>
      <c r="BO23" s="1435">
        <v>5.2893939175476322E-2</v>
      </c>
      <c r="BP23" s="1435">
        <v>5.2570719103056163E-2</v>
      </c>
      <c r="BQ23" s="1435">
        <v>5.2523837686648076E-2</v>
      </c>
      <c r="BR23" s="1435">
        <v>5.0380065242977543E-2</v>
      </c>
      <c r="BS23" s="1435">
        <v>4.8316614868400082E-2</v>
      </c>
      <c r="BT23" s="1435">
        <v>4.633062624745652E-2</v>
      </c>
      <c r="BU23" s="1435">
        <v>4.441933754487732E-2</v>
      </c>
      <c r="BV23" s="1435">
        <v>4.2580082095382006E-2</v>
      </c>
      <c r="BW23" s="1435">
        <v>4.0810285202761434E-2</v>
      </c>
      <c r="BX23" s="1435">
        <v>3.9107461044685224E-2</v>
      </c>
      <c r="BY23" s="1435">
        <v>3.7469209679790866E-2</v>
      </c>
      <c r="BZ23" s="1435">
        <v>3.5893214153722278E-2</v>
      </c>
      <c r="CA23" s="1435">
        <v>3.4377237700892647E-2</v>
      </c>
      <c r="CB23" s="1435">
        <v>3.2919121038850585E-2</v>
      </c>
      <c r="CC23" s="1435">
        <v>3.1516779752228816E-2</v>
      </c>
      <c r="CD23" s="1435">
        <v>3.0168201763352605E-2</v>
      </c>
      <c r="CE23" s="1435">
        <v>2.887144488667881E-2</v>
      </c>
      <c r="CF23" s="1435">
        <v>2.7624634464328161E-2</v>
      </c>
      <c r="CG23" s="1435">
        <v>2.6425961080061455E-2</v>
      </c>
      <c r="CH23" s="1435">
        <v>2.5273678349136051E-2</v>
      </c>
      <c r="CI23" s="1435">
        <v>2.4166100781561707E-2</v>
      </c>
      <c r="CJ23" s="1435">
        <v>2.3101601716355037E-2</v>
      </c>
      <c r="CK23" s="1435">
        <v>2.2078611324469481E-2</v>
      </c>
      <c r="CL23" s="1435">
        <v>2.1361858326341677E-2</v>
      </c>
      <c r="CM23" s="1435">
        <v>2.0826289028467806E-2</v>
      </c>
      <c r="CN23" s="1435">
        <v>2.0615072555370994E-2</v>
      </c>
      <c r="CO23" s="1435">
        <v>2.0705121631329211E-2</v>
      </c>
      <c r="CP23" s="1436">
        <v>2.0926490849998338E-2</v>
      </c>
    </row>
    <row r="24" spans="2:94" s="1278" customFormat="1" ht="62.5" thickBot="1" x14ac:dyDescent="0.35">
      <c r="B24" s="1730"/>
      <c r="C24" s="1442" t="s">
        <v>1328</v>
      </c>
      <c r="D24" s="1438" t="s">
        <v>1329</v>
      </c>
      <c r="E24" s="1443" t="s">
        <v>1327</v>
      </c>
      <c r="F24" s="1279"/>
      <c r="G24" s="1279"/>
      <c r="H24" s="1279" t="s">
        <v>163</v>
      </c>
      <c r="I24" s="1731">
        <f>IF(SUM($N23:$CP23)&lt;&gt;0,SUM($N23:$CP23),"")</f>
        <v>7.1475312546521872</v>
      </c>
      <c r="J24" s="1732"/>
      <c r="K24" s="1732"/>
      <c r="L24" s="1732"/>
      <c r="M24" s="1733"/>
    </row>
    <row r="25" spans="2:94" ht="30" customHeight="1" x14ac:dyDescent="0.3">
      <c r="B25" s="1728" t="s">
        <v>1313</v>
      </c>
      <c r="C25" s="1444" t="s">
        <v>1331</v>
      </c>
      <c r="D25" s="1445" t="s">
        <v>1332</v>
      </c>
      <c r="E25" s="1269" t="s">
        <v>1316</v>
      </c>
      <c r="F25" s="1288"/>
      <c r="G25" s="1288"/>
      <c r="H25" s="1270" t="s">
        <v>163</v>
      </c>
      <c r="I25" s="1266"/>
      <c r="J25" s="1265"/>
      <c r="K25" s="1265"/>
      <c r="L25" s="1265"/>
      <c r="M25" s="1265"/>
      <c r="N25" s="1423"/>
      <c r="O25" s="1424">
        <v>3.146666382179824</v>
      </c>
      <c r="P25" s="1424">
        <v>4.7199995732697353</v>
      </c>
      <c r="Q25" s="1424">
        <v>7.8666659554495588</v>
      </c>
      <c r="R25" s="1424">
        <v>7.8666659554495588</v>
      </c>
      <c r="S25" s="1424">
        <v>7.8666659554495588</v>
      </c>
      <c r="T25" s="1424">
        <v>7.8666659554495588</v>
      </c>
      <c r="U25" s="1424">
        <v>15.733331910899118</v>
      </c>
      <c r="V25" s="1424">
        <v>23.599997866348676</v>
      </c>
      <c r="W25" s="1424">
        <v>39.333329777247798</v>
      </c>
      <c r="X25" s="1424">
        <v>39.333329777247798</v>
      </c>
      <c r="Y25" s="1424">
        <v>0</v>
      </c>
      <c r="Z25" s="1424">
        <v>0</v>
      </c>
      <c r="AA25" s="1424">
        <v>0</v>
      </c>
      <c r="AB25" s="1424">
        <v>0</v>
      </c>
      <c r="AC25" s="1424">
        <v>0</v>
      </c>
      <c r="AD25" s="1424">
        <v>0</v>
      </c>
      <c r="AE25" s="1424">
        <v>0</v>
      </c>
      <c r="AF25" s="1424">
        <v>0</v>
      </c>
      <c r="AG25" s="1424">
        <v>0</v>
      </c>
      <c r="AH25" s="1424">
        <v>0</v>
      </c>
      <c r="AI25" s="1424">
        <v>0</v>
      </c>
      <c r="AJ25" s="1424">
        <v>0</v>
      </c>
      <c r="AK25" s="1424">
        <v>0</v>
      </c>
      <c r="AL25" s="1424">
        <v>0</v>
      </c>
      <c r="AM25" s="1424">
        <v>0</v>
      </c>
      <c r="AN25" s="1424">
        <v>0.10947352278702684</v>
      </c>
      <c r="AO25" s="1424">
        <v>0.16421028418054023</v>
      </c>
      <c r="AP25" s="1424">
        <v>0.27368380696756706</v>
      </c>
      <c r="AQ25" s="1424">
        <v>0.27368380696756706</v>
      </c>
      <c r="AR25" s="1424">
        <v>0.27368380696756706</v>
      </c>
      <c r="AS25" s="1424">
        <v>0.27368380696756706</v>
      </c>
      <c r="AT25" s="1424">
        <v>0.54736761393513411</v>
      </c>
      <c r="AU25" s="1424">
        <v>0.82105142090270133</v>
      </c>
      <c r="AV25" s="1424">
        <v>1.3684190348378353</v>
      </c>
      <c r="AW25" s="1424">
        <v>1.3684190348378353</v>
      </c>
      <c r="AX25" s="1424">
        <v>0</v>
      </c>
      <c r="AY25" s="1424">
        <v>0</v>
      </c>
      <c r="AZ25" s="1424">
        <v>0</v>
      </c>
      <c r="BA25" s="1424">
        <v>0</v>
      </c>
      <c r="BB25" s="1424">
        <v>0</v>
      </c>
      <c r="BC25" s="1424">
        <v>3.0324239662961392</v>
      </c>
      <c r="BD25" s="1424">
        <v>4.5486359494442095</v>
      </c>
      <c r="BE25" s="1424">
        <v>7.5810599157403482</v>
      </c>
      <c r="BF25" s="1424">
        <v>7.5810599157403482</v>
      </c>
      <c r="BG25" s="1424">
        <v>7.5810599157403482</v>
      </c>
      <c r="BH25" s="1424">
        <v>7.5810599157403482</v>
      </c>
      <c r="BI25" s="1424">
        <v>15.162119831480696</v>
      </c>
      <c r="BJ25" s="1424">
        <v>22.743179747221046</v>
      </c>
      <c r="BK25" s="1424">
        <v>37.905299578701744</v>
      </c>
      <c r="BL25" s="1424">
        <v>37.905299578701744</v>
      </c>
      <c r="BM25" s="1424">
        <v>0.10947352278702684</v>
      </c>
      <c r="BN25" s="1424">
        <v>0.16421028418054023</v>
      </c>
      <c r="BO25" s="1424">
        <v>0.27368380696756706</v>
      </c>
      <c r="BP25" s="1424">
        <v>0.27368380696756706</v>
      </c>
      <c r="BQ25" s="1424">
        <v>0.27368380696756706</v>
      </c>
      <c r="BR25" s="1424">
        <v>0.27368380696756706</v>
      </c>
      <c r="BS25" s="1424">
        <v>0.54736761393513411</v>
      </c>
      <c r="BT25" s="1424">
        <v>0.82105142090270133</v>
      </c>
      <c r="BU25" s="1424">
        <v>1.3684190348378353</v>
      </c>
      <c r="BV25" s="1424">
        <v>1.3684190348378353</v>
      </c>
      <c r="BW25" s="1424">
        <v>0</v>
      </c>
      <c r="BX25" s="1424">
        <v>0</v>
      </c>
      <c r="BY25" s="1424">
        <v>0</v>
      </c>
      <c r="BZ25" s="1424">
        <v>0</v>
      </c>
      <c r="CA25" s="1424">
        <v>0</v>
      </c>
      <c r="CB25" s="1424">
        <v>0</v>
      </c>
      <c r="CC25" s="1424">
        <v>0</v>
      </c>
      <c r="CD25" s="1424">
        <v>0</v>
      </c>
      <c r="CE25" s="1424">
        <v>0</v>
      </c>
      <c r="CF25" s="1424">
        <v>0</v>
      </c>
      <c r="CG25" s="1424">
        <v>0</v>
      </c>
      <c r="CH25" s="1424">
        <v>0</v>
      </c>
      <c r="CI25" s="1424">
        <v>0</v>
      </c>
      <c r="CJ25" s="1424">
        <v>0</v>
      </c>
      <c r="CK25" s="1424">
        <v>0</v>
      </c>
      <c r="CL25" s="1424">
        <v>0.10947352278702684</v>
      </c>
      <c r="CM25" s="1424">
        <v>0.16421028418054023</v>
      </c>
      <c r="CN25" s="1424">
        <v>0.27368380696756706</v>
      </c>
      <c r="CO25" s="1424">
        <v>0.27368380696756706</v>
      </c>
      <c r="CP25" s="1425">
        <v>0.27368380696756706</v>
      </c>
    </row>
    <row r="26" spans="2:94" ht="30" customHeight="1" x14ac:dyDescent="0.3">
      <c r="B26" s="1729"/>
      <c r="C26" s="1444" t="s">
        <v>1331</v>
      </c>
      <c r="D26" s="1446" t="s">
        <v>1332</v>
      </c>
      <c r="E26" s="1260" t="s">
        <v>1317</v>
      </c>
      <c r="F26" s="1287"/>
      <c r="G26" s="1287"/>
      <c r="H26" s="1264" t="s">
        <v>1318</v>
      </c>
      <c r="I26" s="1261"/>
      <c r="J26" s="1259"/>
      <c r="K26" s="1259"/>
      <c r="L26" s="1259"/>
      <c r="M26" s="1259"/>
      <c r="N26" s="1426"/>
      <c r="O26" s="1427">
        <v>0</v>
      </c>
      <c r="P26" s="1427">
        <v>0</v>
      </c>
      <c r="Q26" s="1427">
        <v>0</v>
      </c>
      <c r="R26" s="1427">
        <v>0</v>
      </c>
      <c r="S26" s="1427">
        <v>0</v>
      </c>
      <c r="T26" s="1427">
        <v>0</v>
      </c>
      <c r="U26" s="1427">
        <v>0</v>
      </c>
      <c r="V26" s="1427">
        <v>0</v>
      </c>
      <c r="W26" s="1427">
        <v>0</v>
      </c>
      <c r="X26" s="1427">
        <v>0</v>
      </c>
      <c r="Y26" s="1427">
        <v>0.12265157456197721</v>
      </c>
      <c r="Z26" s="1427">
        <v>0.12265157456197721</v>
      </c>
      <c r="AA26" s="1427">
        <v>0.12265157456197721</v>
      </c>
      <c r="AB26" s="1427">
        <v>0.12265157456197721</v>
      </c>
      <c r="AC26" s="1427">
        <v>0.12265157456197721</v>
      </c>
      <c r="AD26" s="1427">
        <v>0.12265157456197721</v>
      </c>
      <c r="AE26" s="1427">
        <v>0.12265157456197721</v>
      </c>
      <c r="AF26" s="1427">
        <v>0.12265157456197721</v>
      </c>
      <c r="AG26" s="1427">
        <v>0.12265157456197721</v>
      </c>
      <c r="AH26" s="1427">
        <v>0.12265157456197721</v>
      </c>
      <c r="AI26" s="1427">
        <v>0.12265157456197721</v>
      </c>
      <c r="AJ26" s="1427">
        <v>0.12265157456197721</v>
      </c>
      <c r="AK26" s="1427">
        <v>0.12265157456197721</v>
      </c>
      <c r="AL26" s="1427">
        <v>0.12265157456197721</v>
      </c>
      <c r="AM26" s="1427">
        <v>0.12265157456197721</v>
      </c>
      <c r="AN26" s="1427">
        <v>0.12265157456197721</v>
      </c>
      <c r="AO26" s="1427">
        <v>0.12265157456197721</v>
      </c>
      <c r="AP26" s="1427">
        <v>0.12265157456197721</v>
      </c>
      <c r="AQ26" s="1427">
        <v>0.12265157456197721</v>
      </c>
      <c r="AR26" s="1427">
        <v>0.12265157456197721</v>
      </c>
      <c r="AS26" s="1427">
        <v>0.12265157456197721</v>
      </c>
      <c r="AT26" s="1427">
        <v>0.12265157456197721</v>
      </c>
      <c r="AU26" s="1427">
        <v>0.12265157456197721</v>
      </c>
      <c r="AV26" s="1427">
        <v>0.12265157456197721</v>
      </c>
      <c r="AW26" s="1427">
        <v>0.12265157456197721</v>
      </c>
      <c r="AX26" s="1427">
        <v>0.12265157456197721</v>
      </c>
      <c r="AY26" s="1427">
        <v>0.12265157456197721</v>
      </c>
      <c r="AZ26" s="1427">
        <v>0.12265157456197721</v>
      </c>
      <c r="BA26" s="1427">
        <v>0.12265157456197721</v>
      </c>
      <c r="BB26" s="1427">
        <v>0.12265157456197721</v>
      </c>
      <c r="BC26" s="1427">
        <v>0.12265157456197721</v>
      </c>
      <c r="BD26" s="1427">
        <v>0.12265157456197721</v>
      </c>
      <c r="BE26" s="1427">
        <v>0.12265157456197721</v>
      </c>
      <c r="BF26" s="1427">
        <v>0.12265157456197721</v>
      </c>
      <c r="BG26" s="1427">
        <v>0.12265157456197721</v>
      </c>
      <c r="BH26" s="1427">
        <v>0.12265157456197721</v>
      </c>
      <c r="BI26" s="1427">
        <v>0.12265157456197721</v>
      </c>
      <c r="BJ26" s="1427">
        <v>0.12265157456197721</v>
      </c>
      <c r="BK26" s="1427">
        <v>0.12265157456197721</v>
      </c>
      <c r="BL26" s="1427">
        <v>0.12265157456197721</v>
      </c>
      <c r="BM26" s="1427">
        <v>0.12265157456197721</v>
      </c>
      <c r="BN26" s="1427">
        <v>0.12265157456197721</v>
      </c>
      <c r="BO26" s="1427">
        <v>0.12265157456197721</v>
      </c>
      <c r="BP26" s="1427">
        <v>0.12265157456197721</v>
      </c>
      <c r="BQ26" s="1427">
        <v>0.12265157456197721</v>
      </c>
      <c r="BR26" s="1427">
        <v>0.12265157456197721</v>
      </c>
      <c r="BS26" s="1427">
        <v>0.12265157456197721</v>
      </c>
      <c r="BT26" s="1427">
        <v>0.12265157456197721</v>
      </c>
      <c r="BU26" s="1427">
        <v>0.12265157456197721</v>
      </c>
      <c r="BV26" s="1427">
        <v>0.12265157456197721</v>
      </c>
      <c r="BW26" s="1427">
        <v>0.12265157456197721</v>
      </c>
      <c r="BX26" s="1427">
        <v>0.12265157456197721</v>
      </c>
      <c r="BY26" s="1427">
        <v>0.12265157456197721</v>
      </c>
      <c r="BZ26" s="1427">
        <v>0.12265157456197721</v>
      </c>
      <c r="CA26" s="1427">
        <v>0.12265157456197721</v>
      </c>
      <c r="CB26" s="1427">
        <v>0.12265157456197721</v>
      </c>
      <c r="CC26" s="1427">
        <v>0.12265157456197721</v>
      </c>
      <c r="CD26" s="1427">
        <v>0.12265157456197721</v>
      </c>
      <c r="CE26" s="1427">
        <v>0.12265157456197721</v>
      </c>
      <c r="CF26" s="1427">
        <v>0.12265157456197721</v>
      </c>
      <c r="CG26" s="1427">
        <v>0.12265157456197721</v>
      </c>
      <c r="CH26" s="1427">
        <v>0.12265157456197721</v>
      </c>
      <c r="CI26" s="1427">
        <v>0.12265157456197721</v>
      </c>
      <c r="CJ26" s="1427">
        <v>0.12265157456197721</v>
      </c>
      <c r="CK26" s="1427">
        <v>0.12265157456197721</v>
      </c>
      <c r="CL26" s="1427">
        <v>0.12265157456197721</v>
      </c>
      <c r="CM26" s="1427">
        <v>0.12265157456197721</v>
      </c>
      <c r="CN26" s="1427">
        <v>0.12265157456197721</v>
      </c>
      <c r="CO26" s="1427">
        <v>0.12265157456197721</v>
      </c>
      <c r="CP26" s="1428">
        <v>0.12265157456197721</v>
      </c>
    </row>
    <row r="27" spans="2:94" ht="30" customHeight="1" x14ac:dyDescent="0.3">
      <c r="B27" s="1729"/>
      <c r="C27" s="1444" t="s">
        <v>1331</v>
      </c>
      <c r="D27" s="1446" t="s">
        <v>1332</v>
      </c>
      <c r="E27" s="1260" t="s">
        <v>1319</v>
      </c>
      <c r="F27" s="1287"/>
      <c r="G27" s="1287"/>
      <c r="H27" s="1264" t="s">
        <v>1318</v>
      </c>
      <c r="I27" s="1261"/>
      <c r="J27" s="1259"/>
      <c r="K27" s="1259"/>
      <c r="L27" s="1259"/>
      <c r="M27" s="1259"/>
      <c r="N27" s="1426"/>
      <c r="O27" s="1427">
        <v>0.17096017198424779</v>
      </c>
      <c r="P27" s="1427">
        <v>0.42505715474462774</v>
      </c>
      <c r="Q27" s="1427">
        <v>0.84659939666526807</v>
      </c>
      <c r="R27" s="1427">
        <v>1.2622834505459286</v>
      </c>
      <c r="S27" s="1427">
        <v>1.6721093163866105</v>
      </c>
      <c r="T27" s="1427">
        <v>2.0760769941873125</v>
      </c>
      <c r="U27" s="1427">
        <v>2.9015869139086559</v>
      </c>
      <c r="V27" s="1427">
        <v>4.1427808875106598</v>
      </c>
      <c r="W27" s="1427">
        <v>6.2212011569139642</v>
      </c>
      <c r="X27" s="1427">
        <v>8.2703304861173734</v>
      </c>
      <c r="Y27" s="1427">
        <v>8.1531667253177869</v>
      </c>
      <c r="Z27" s="1427">
        <v>8.0360029645182021</v>
      </c>
      <c r="AA27" s="1427">
        <v>7.9188392037186164</v>
      </c>
      <c r="AB27" s="1427">
        <v>7.8016754429190316</v>
      </c>
      <c r="AC27" s="1427">
        <v>7.684511682119445</v>
      </c>
      <c r="AD27" s="1427">
        <v>7.5673479213198593</v>
      </c>
      <c r="AE27" s="1427">
        <v>7.4501841605202754</v>
      </c>
      <c r="AF27" s="1427">
        <v>7.3330203997206898</v>
      </c>
      <c r="AG27" s="1427">
        <v>7.215856638921105</v>
      </c>
      <c r="AH27" s="1427">
        <v>7.0986928781215184</v>
      </c>
      <c r="AI27" s="1427">
        <v>6.9815291173219336</v>
      </c>
      <c r="AJ27" s="1427">
        <v>6.8643653565223488</v>
      </c>
      <c r="AK27" s="1427">
        <v>6.747201595722764</v>
      </c>
      <c r="AL27" s="1427">
        <v>6.6300378349231774</v>
      </c>
      <c r="AM27" s="1427">
        <v>6.5128740741235926</v>
      </c>
      <c r="AN27" s="1427">
        <v>6.3989069401893888</v>
      </c>
      <c r="AO27" s="1427">
        <v>6.2865381196878749</v>
      </c>
      <c r="AP27" s="1427">
        <v>6.1773659260517437</v>
      </c>
      <c r="AQ27" s="1427">
        <v>6.0681937324156108</v>
      </c>
      <c r="AR27" s="1427">
        <v>5.9590215387794787</v>
      </c>
      <c r="AS27" s="1427">
        <v>5.8498493451433458</v>
      </c>
      <c r="AT27" s="1427">
        <v>5.7486687186706664</v>
      </c>
      <c r="AU27" s="1427">
        <v>5.6554796593614389</v>
      </c>
      <c r="AV27" s="1427">
        <v>5.5782737343791187</v>
      </c>
      <c r="AW27" s="1427">
        <v>5.5010678093967984</v>
      </c>
      <c r="AX27" s="1427">
        <v>5.3839040485972136</v>
      </c>
      <c r="AY27" s="1427">
        <v>5.266740287797627</v>
      </c>
      <c r="AZ27" s="1427">
        <v>5.1495765269980431</v>
      </c>
      <c r="BA27" s="1427">
        <v>5.0324127661984566</v>
      </c>
      <c r="BB27" s="1427">
        <v>4.9152490053988709</v>
      </c>
      <c r="BC27" s="1427">
        <v>4.8866320244151327</v>
      </c>
      <c r="BD27" s="1427">
        <v>4.9022884333393195</v>
      </c>
      <c r="BE27" s="1427">
        <v>5.0064916220793512</v>
      </c>
      <c r="BF27" s="1427">
        <v>5.1106948108193846</v>
      </c>
      <c r="BG27" s="1427">
        <v>5.2148979995594171</v>
      </c>
      <c r="BH27" s="1427">
        <v>5.3191011882994506</v>
      </c>
      <c r="BI27" s="1427">
        <v>5.6446713265791004</v>
      </c>
      <c r="BJ27" s="1427">
        <v>6.1916084143983712</v>
      </c>
      <c r="BK27" s="1427">
        <v>7.1812794012968748</v>
      </c>
      <c r="BL27" s="1427">
        <v>8.1709503881953811</v>
      </c>
      <c r="BM27" s="1427">
        <v>8.0569832542611763</v>
      </c>
      <c r="BN27" s="1427">
        <v>7.9446144337596625</v>
      </c>
      <c r="BO27" s="1427">
        <v>7.8354422401235295</v>
      </c>
      <c r="BP27" s="1427">
        <v>7.7262700464873966</v>
      </c>
      <c r="BQ27" s="1427">
        <v>7.6170978528512654</v>
      </c>
      <c r="BR27" s="1427">
        <v>7.5079256592151333</v>
      </c>
      <c r="BS27" s="1427">
        <v>7.406745032742454</v>
      </c>
      <c r="BT27" s="1427">
        <v>7.3135559734332274</v>
      </c>
      <c r="BU27" s="1427">
        <v>7.2363500484509062</v>
      </c>
      <c r="BV27" s="1427">
        <v>7.1591441234685851</v>
      </c>
      <c r="BW27" s="1427">
        <v>7.0419803626690012</v>
      </c>
      <c r="BX27" s="1427">
        <v>6.9248166018694155</v>
      </c>
      <c r="BY27" s="1427">
        <v>6.8076528410698298</v>
      </c>
      <c r="BZ27" s="1427">
        <v>6.690489080270245</v>
      </c>
      <c r="CA27" s="1427">
        <v>6.5733253194706593</v>
      </c>
      <c r="CB27" s="1427">
        <v>6.4561615586710737</v>
      </c>
      <c r="CC27" s="1427">
        <v>6.3389977978714898</v>
      </c>
      <c r="CD27" s="1427">
        <v>6.2218340370719032</v>
      </c>
      <c r="CE27" s="1427">
        <v>6.1046702762723193</v>
      </c>
      <c r="CF27" s="1427">
        <v>5.9875065154727327</v>
      </c>
      <c r="CG27" s="1427">
        <v>5.8703427546731479</v>
      </c>
      <c r="CH27" s="1427">
        <v>5.7531789938735622</v>
      </c>
      <c r="CI27" s="1427">
        <v>5.6360152330739774</v>
      </c>
      <c r="CJ27" s="1427">
        <v>5.5188514722743918</v>
      </c>
      <c r="CK27" s="1427">
        <v>5.401687711474807</v>
      </c>
      <c r="CL27" s="1427">
        <v>5.2877205775406031</v>
      </c>
      <c r="CM27" s="1427">
        <v>5.1753517570390883</v>
      </c>
      <c r="CN27" s="1427">
        <v>5.0661795634029572</v>
      </c>
      <c r="CO27" s="1427">
        <v>4.9570073697668242</v>
      </c>
      <c r="CP27" s="1428">
        <v>4.8478351761306913</v>
      </c>
    </row>
    <row r="28" spans="2:94" ht="30" customHeight="1" x14ac:dyDescent="0.3">
      <c r="B28" s="1729"/>
      <c r="C28" s="1444" t="s">
        <v>1331</v>
      </c>
      <c r="D28" s="1446" t="s">
        <v>1332</v>
      </c>
      <c r="E28" s="1260" t="s">
        <v>1320</v>
      </c>
      <c r="F28" s="1287"/>
      <c r="G28" s="1287"/>
      <c r="H28" s="1264" t="s">
        <v>1318</v>
      </c>
      <c r="I28" s="1261"/>
      <c r="J28" s="1259"/>
      <c r="K28" s="1259"/>
      <c r="L28" s="1259"/>
      <c r="M28" s="1259"/>
      <c r="N28" s="1426"/>
      <c r="O28" s="1427"/>
      <c r="P28" s="1427">
        <v>3.5000000000000003E-2</v>
      </c>
      <c r="Q28" s="1427">
        <v>3.5000000000000003E-2</v>
      </c>
      <c r="R28" s="1427">
        <v>3.5000000000000003E-2</v>
      </c>
      <c r="S28" s="1427">
        <v>3.5000000000000003E-2</v>
      </c>
      <c r="T28" s="1427">
        <v>3.5000000000000003E-2</v>
      </c>
      <c r="U28" s="1427">
        <v>3.5000000000000003E-2</v>
      </c>
      <c r="V28" s="1427">
        <v>3.5000000000000003E-2</v>
      </c>
      <c r="W28" s="1427">
        <v>3.5000000000000003E-2</v>
      </c>
      <c r="X28" s="1427">
        <v>3.5000000000000003E-2</v>
      </c>
      <c r="Y28" s="1427">
        <v>3.5000000000000003E-2</v>
      </c>
      <c r="Z28" s="1427">
        <v>3.5000000000000003E-2</v>
      </c>
      <c r="AA28" s="1427">
        <v>3.5000000000000003E-2</v>
      </c>
      <c r="AB28" s="1427">
        <v>3.5000000000000003E-2</v>
      </c>
      <c r="AC28" s="1427">
        <v>3.5000000000000003E-2</v>
      </c>
      <c r="AD28" s="1427">
        <v>3.5000000000000003E-2</v>
      </c>
      <c r="AE28" s="1427">
        <v>3.5000000000000003E-2</v>
      </c>
      <c r="AF28" s="1427">
        <v>3.5000000000000003E-2</v>
      </c>
      <c r="AG28" s="1427">
        <v>3.5000000000000003E-2</v>
      </c>
      <c r="AH28" s="1427">
        <v>3.5000000000000003E-2</v>
      </c>
      <c r="AI28" s="1427">
        <v>3.5000000000000003E-2</v>
      </c>
      <c r="AJ28" s="1427">
        <v>3.5000000000000003E-2</v>
      </c>
      <c r="AK28" s="1427">
        <v>3.5000000000000003E-2</v>
      </c>
      <c r="AL28" s="1427">
        <v>3.5000000000000003E-2</v>
      </c>
      <c r="AM28" s="1427">
        <v>3.5000000000000003E-2</v>
      </c>
      <c r="AN28" s="1427">
        <v>3.5000000000000003E-2</v>
      </c>
      <c r="AO28" s="1427">
        <v>3.5000000000000003E-2</v>
      </c>
      <c r="AP28" s="1427">
        <v>3.5000000000000003E-2</v>
      </c>
      <c r="AQ28" s="1427">
        <v>3.5000000000000003E-2</v>
      </c>
      <c r="AR28" s="1427">
        <v>3.5000000000000003E-2</v>
      </c>
      <c r="AS28" s="1427">
        <v>0.03</v>
      </c>
      <c r="AT28" s="1427">
        <v>0.03</v>
      </c>
      <c r="AU28" s="1427">
        <v>0.03</v>
      </c>
      <c r="AV28" s="1427">
        <v>0.03</v>
      </c>
      <c r="AW28" s="1427">
        <v>0.03</v>
      </c>
      <c r="AX28" s="1427">
        <v>0.03</v>
      </c>
      <c r="AY28" s="1427">
        <v>0.03</v>
      </c>
      <c r="AZ28" s="1427">
        <v>0.03</v>
      </c>
      <c r="BA28" s="1427">
        <v>0.03</v>
      </c>
      <c r="BB28" s="1427">
        <v>0.03</v>
      </c>
      <c r="BC28" s="1427">
        <v>0.03</v>
      </c>
      <c r="BD28" s="1427">
        <v>0.03</v>
      </c>
      <c r="BE28" s="1427">
        <v>0.03</v>
      </c>
      <c r="BF28" s="1427">
        <v>0.03</v>
      </c>
      <c r="BG28" s="1427">
        <v>0.03</v>
      </c>
      <c r="BH28" s="1427">
        <v>0.03</v>
      </c>
      <c r="BI28" s="1427">
        <v>0.03</v>
      </c>
      <c r="BJ28" s="1427">
        <v>0.03</v>
      </c>
      <c r="BK28" s="1427">
        <v>0.03</v>
      </c>
      <c r="BL28" s="1427">
        <v>0.03</v>
      </c>
      <c r="BM28" s="1427">
        <v>0.03</v>
      </c>
      <c r="BN28" s="1427">
        <v>0.03</v>
      </c>
      <c r="BO28" s="1427">
        <v>0.03</v>
      </c>
      <c r="BP28" s="1427">
        <v>0.03</v>
      </c>
      <c r="BQ28" s="1427">
        <v>0.03</v>
      </c>
      <c r="BR28" s="1427">
        <v>0.03</v>
      </c>
      <c r="BS28" s="1427">
        <v>0.03</v>
      </c>
      <c r="BT28" s="1427">
        <v>0.03</v>
      </c>
      <c r="BU28" s="1427">
        <v>0.03</v>
      </c>
      <c r="BV28" s="1427">
        <v>0.03</v>
      </c>
      <c r="BW28" s="1427">
        <v>0.03</v>
      </c>
      <c r="BX28" s="1427">
        <v>0.03</v>
      </c>
      <c r="BY28" s="1427">
        <v>0.03</v>
      </c>
      <c r="BZ28" s="1427">
        <v>0.03</v>
      </c>
      <c r="CA28" s="1427">
        <v>0.03</v>
      </c>
      <c r="CB28" s="1427">
        <v>0.03</v>
      </c>
      <c r="CC28" s="1427">
        <v>0.03</v>
      </c>
      <c r="CD28" s="1427">
        <v>0.03</v>
      </c>
      <c r="CE28" s="1427">
        <v>0.03</v>
      </c>
      <c r="CF28" s="1427">
        <v>0.03</v>
      </c>
      <c r="CG28" s="1427">
        <v>0.03</v>
      </c>
      <c r="CH28" s="1427">
        <v>0.03</v>
      </c>
      <c r="CI28" s="1427">
        <v>0.03</v>
      </c>
      <c r="CJ28" s="1427">
        <v>0.03</v>
      </c>
      <c r="CK28" s="1427">
        <v>0.03</v>
      </c>
      <c r="CL28" s="1427">
        <v>2.5000000000000001E-2</v>
      </c>
      <c r="CM28" s="1427">
        <v>2.5000000000000001E-2</v>
      </c>
      <c r="CN28" s="1427">
        <v>2.5000000000000001E-2</v>
      </c>
      <c r="CO28" s="1427">
        <v>2.5000000000000001E-2</v>
      </c>
      <c r="CP28" s="1428">
        <v>2.5000000000000001E-2</v>
      </c>
    </row>
    <row r="29" spans="2:94" ht="30" customHeight="1" x14ac:dyDescent="0.3">
      <c r="B29" s="1729"/>
      <c r="C29" s="1444" t="s">
        <v>1331</v>
      </c>
      <c r="D29" s="1446" t="s">
        <v>1332</v>
      </c>
      <c r="E29" s="1260" t="s">
        <v>1321</v>
      </c>
      <c r="F29" s="1287"/>
      <c r="G29" s="1287"/>
      <c r="H29" s="1264" t="s">
        <v>1318</v>
      </c>
      <c r="I29" s="1261"/>
      <c r="J29" s="1259"/>
      <c r="K29" s="1259"/>
      <c r="L29" s="1259"/>
      <c r="M29" s="1259"/>
      <c r="N29" s="1426"/>
      <c r="O29" s="1427">
        <v>1</v>
      </c>
      <c r="P29" s="1427">
        <v>0.96618357487922713</v>
      </c>
      <c r="Q29" s="1427">
        <v>0.93351070036640305</v>
      </c>
      <c r="R29" s="1427">
        <v>0.90194270566802237</v>
      </c>
      <c r="S29" s="1427">
        <v>0.87144222769857238</v>
      </c>
      <c r="T29" s="1427">
        <v>0.84197316685852408</v>
      </c>
      <c r="U29" s="1427">
        <v>0.81350064430775282</v>
      </c>
      <c r="V29" s="1427">
        <v>0.78599096068381924</v>
      </c>
      <c r="W29" s="1427">
        <v>0.75941155621625056</v>
      </c>
      <c r="X29" s="1427">
        <v>0.73373097218961414</v>
      </c>
      <c r="Y29" s="1427">
        <v>0.70891881370977217</v>
      </c>
      <c r="Z29" s="1427">
        <v>0.68494571372924851</v>
      </c>
      <c r="AA29" s="1427">
        <v>0.66178329828912907</v>
      </c>
      <c r="AB29" s="1427">
        <v>0.63940415293635666</v>
      </c>
      <c r="AC29" s="1427">
        <v>0.61778179027667313</v>
      </c>
      <c r="AD29" s="1427">
        <v>0.59689061862480497</v>
      </c>
      <c r="AE29" s="1427">
        <v>0.57670591171478747</v>
      </c>
      <c r="AF29" s="1427">
        <v>0.55720377943457733</v>
      </c>
      <c r="AG29" s="1427">
        <v>0.53836113955031628</v>
      </c>
      <c r="AH29" s="1427">
        <v>0.520155690386779</v>
      </c>
      <c r="AI29" s="1427">
        <v>0.50256588443167061</v>
      </c>
      <c r="AJ29" s="1427">
        <v>0.48557090283253201</v>
      </c>
      <c r="AK29" s="1427">
        <v>0.46915063075606961</v>
      </c>
      <c r="AL29" s="1427">
        <v>0.45328563358074364</v>
      </c>
      <c r="AM29" s="1427">
        <v>0.43795713389443836</v>
      </c>
      <c r="AN29" s="1427">
        <v>0.42314698926998878</v>
      </c>
      <c r="AO29" s="1427">
        <v>0.40883767079225974</v>
      </c>
      <c r="AP29" s="1427">
        <v>0.39501224231136212</v>
      </c>
      <c r="AQ29" s="1427">
        <v>0.38165434039745133</v>
      </c>
      <c r="AR29" s="1427">
        <v>0.36874815497338298</v>
      </c>
      <c r="AS29" s="1427">
        <v>0.35800791744988636</v>
      </c>
      <c r="AT29" s="1427">
        <v>0.34758050237853044</v>
      </c>
      <c r="AU29" s="1427">
        <v>0.33745679842575771</v>
      </c>
      <c r="AV29" s="1427">
        <v>0.32762795963665797</v>
      </c>
      <c r="AW29" s="1427">
        <v>0.31808539770549316</v>
      </c>
      <c r="AX29" s="1427">
        <v>0.30882077447135259</v>
      </c>
      <c r="AY29" s="1427">
        <v>0.29982599463238113</v>
      </c>
      <c r="AZ29" s="1427">
        <v>0.29109319867221467</v>
      </c>
      <c r="BA29" s="1427">
        <v>0.2826147559924414</v>
      </c>
      <c r="BB29" s="1427">
        <v>0.27438325824508875</v>
      </c>
      <c r="BC29" s="1427">
        <v>0.26639151285930945</v>
      </c>
      <c r="BD29" s="1427">
        <v>0.25863253675661113</v>
      </c>
      <c r="BE29" s="1427">
        <v>0.25109955024913699</v>
      </c>
      <c r="BF29" s="1427">
        <v>0.24378597111566697</v>
      </c>
      <c r="BG29" s="1427">
        <v>0.23668540885016209</v>
      </c>
      <c r="BH29" s="1427">
        <v>0.22979165907782728</v>
      </c>
      <c r="BI29" s="1427">
        <v>0.22309869813381289</v>
      </c>
      <c r="BJ29" s="1427">
        <v>0.21660067779981834</v>
      </c>
      <c r="BK29" s="1427">
        <v>0.21029192019399839</v>
      </c>
      <c r="BL29" s="1427">
        <v>0.20416691280970717</v>
      </c>
      <c r="BM29" s="1427">
        <v>0.19822030369874483</v>
      </c>
      <c r="BN29" s="1427">
        <v>0.19244689679489788</v>
      </c>
      <c r="BO29" s="1427">
        <v>0.18684164737368725</v>
      </c>
      <c r="BP29" s="1427">
        <v>0.18139965764435656</v>
      </c>
      <c r="BQ29" s="1427">
        <v>0.17611617247024908</v>
      </c>
      <c r="BR29" s="1427">
        <v>0.17098657521383406</v>
      </c>
      <c r="BS29" s="1427">
        <v>0.1660063837027515</v>
      </c>
      <c r="BT29" s="1427">
        <v>0.16117124631335097</v>
      </c>
      <c r="BU29" s="1427">
        <v>0.15647693816830191</v>
      </c>
      <c r="BV29" s="1427">
        <v>0.1519193574449533</v>
      </c>
      <c r="BW29" s="1427">
        <v>0.1474945217912168</v>
      </c>
      <c r="BX29" s="1427">
        <v>0.14319856484584156</v>
      </c>
      <c r="BY29" s="1427">
        <v>0.13902773286004036</v>
      </c>
      <c r="BZ29" s="1427">
        <v>0.13497838141751492</v>
      </c>
      <c r="CA29" s="1427">
        <v>0.13104697225001449</v>
      </c>
      <c r="CB29" s="1427">
        <v>0.12723007014564514</v>
      </c>
      <c r="CC29" s="1427">
        <v>0.12352433994722828</v>
      </c>
      <c r="CD29" s="1427">
        <v>0.11992654363808571</v>
      </c>
      <c r="CE29" s="1427">
        <v>0.11643353751270456</v>
      </c>
      <c r="CF29" s="1427">
        <v>0.11304226942981026</v>
      </c>
      <c r="CG29" s="1427">
        <v>0.10974977614544684</v>
      </c>
      <c r="CH29" s="1427">
        <v>0.10655318072373479</v>
      </c>
      <c r="CI29" s="1427">
        <v>0.10344969002304348</v>
      </c>
      <c r="CJ29" s="1427">
        <v>0.10043659225538201</v>
      </c>
      <c r="CK29" s="1427">
        <v>9.7511254616875737E-2</v>
      </c>
      <c r="CL29" s="1427">
        <v>9.5132931333537313E-2</v>
      </c>
      <c r="CM29" s="1427">
        <v>9.2812615935158368E-2</v>
      </c>
      <c r="CN29" s="1427">
        <v>9.0548893595276458E-2</v>
      </c>
      <c r="CO29" s="1427">
        <v>8.834038399539168E-2</v>
      </c>
      <c r="CP29" s="1428">
        <v>8.6185740483308959E-2</v>
      </c>
    </row>
    <row r="30" spans="2:94" ht="30" customHeight="1" x14ac:dyDescent="0.3">
      <c r="B30" s="1729"/>
      <c r="C30" s="1444" t="s">
        <v>1331</v>
      </c>
      <c r="D30" s="1446" t="s">
        <v>1332</v>
      </c>
      <c r="E30" s="1260" t="s">
        <v>1322</v>
      </c>
      <c r="F30" s="1260" t="s">
        <v>1330</v>
      </c>
      <c r="G30" s="1260"/>
      <c r="H30" s="1260" t="s">
        <v>1324</v>
      </c>
      <c r="I30" s="1261"/>
      <c r="J30" s="1259"/>
      <c r="K30" s="1259"/>
      <c r="L30" s="1259"/>
      <c r="M30" s="1259"/>
      <c r="N30" s="1426"/>
      <c r="O30" s="1427"/>
      <c r="P30" s="1427"/>
      <c r="Q30" s="1427"/>
      <c r="R30" s="1427"/>
      <c r="S30" s="1427"/>
      <c r="T30" s="1427"/>
      <c r="U30" s="1427"/>
      <c r="V30" s="1427"/>
      <c r="W30" s="1427"/>
      <c r="X30" s="1427"/>
      <c r="Y30" s="1427"/>
      <c r="Z30" s="1427"/>
      <c r="AA30" s="1427"/>
      <c r="AB30" s="1427"/>
      <c r="AC30" s="1427"/>
      <c r="AD30" s="1427"/>
      <c r="AE30" s="1427"/>
      <c r="AF30" s="1427"/>
      <c r="AG30" s="1427"/>
      <c r="AH30" s="1427"/>
      <c r="AI30" s="1427"/>
      <c r="AJ30" s="1427"/>
      <c r="AK30" s="1427"/>
      <c r="AL30" s="1427"/>
      <c r="AM30" s="1427"/>
      <c r="AN30" s="1427"/>
      <c r="AO30" s="1427"/>
      <c r="AP30" s="1427"/>
      <c r="AQ30" s="1427"/>
      <c r="AR30" s="1427"/>
      <c r="AS30" s="1427"/>
      <c r="AT30" s="1427"/>
      <c r="AU30" s="1427"/>
      <c r="AV30" s="1427"/>
      <c r="AW30" s="1427"/>
      <c r="AX30" s="1427"/>
      <c r="AY30" s="1427"/>
      <c r="AZ30" s="1427"/>
      <c r="BA30" s="1427"/>
      <c r="BB30" s="1427"/>
      <c r="BC30" s="1427"/>
      <c r="BD30" s="1427"/>
      <c r="BE30" s="1427"/>
      <c r="BF30" s="1427"/>
      <c r="BG30" s="1427"/>
      <c r="BH30" s="1427"/>
      <c r="BI30" s="1427"/>
      <c r="BJ30" s="1427"/>
      <c r="BK30" s="1427"/>
      <c r="BL30" s="1427"/>
      <c r="BM30" s="1427"/>
      <c r="BN30" s="1427"/>
      <c r="BO30" s="1427"/>
      <c r="BP30" s="1427"/>
      <c r="BQ30" s="1427"/>
      <c r="BR30" s="1427"/>
      <c r="BS30" s="1427"/>
      <c r="BT30" s="1427"/>
      <c r="BU30" s="1427"/>
      <c r="BV30" s="1427"/>
      <c r="BW30" s="1427"/>
      <c r="BX30" s="1427"/>
      <c r="BY30" s="1427"/>
      <c r="BZ30" s="1427"/>
      <c r="CA30" s="1427"/>
      <c r="CB30" s="1427"/>
      <c r="CC30" s="1427"/>
      <c r="CD30" s="1427"/>
      <c r="CE30" s="1427"/>
      <c r="CF30" s="1427"/>
      <c r="CG30" s="1427"/>
      <c r="CH30" s="1427"/>
      <c r="CI30" s="1427"/>
      <c r="CJ30" s="1427"/>
      <c r="CK30" s="1427"/>
      <c r="CL30" s="1427"/>
      <c r="CM30" s="1427"/>
      <c r="CN30" s="1427"/>
      <c r="CO30" s="1427"/>
      <c r="CP30" s="1428"/>
    </row>
    <row r="31" spans="2:94" ht="30" customHeight="1" x14ac:dyDescent="0.3">
      <c r="B31" s="1729"/>
      <c r="C31" s="1444" t="s">
        <v>1331</v>
      </c>
      <c r="D31" s="1446" t="s">
        <v>1332</v>
      </c>
      <c r="E31" s="1264" t="s">
        <v>1322</v>
      </c>
      <c r="F31" s="1260" t="s">
        <v>1325</v>
      </c>
      <c r="G31" s="1260"/>
      <c r="H31" s="1285" t="s">
        <v>1324</v>
      </c>
      <c r="I31" s="1284"/>
      <c r="J31" s="1259"/>
      <c r="K31" s="1259"/>
      <c r="L31" s="1259"/>
      <c r="M31" s="1259"/>
      <c r="N31" s="1426"/>
      <c r="O31" s="1427"/>
      <c r="P31" s="1427"/>
      <c r="Q31" s="1427"/>
      <c r="R31" s="1427"/>
      <c r="S31" s="1427"/>
      <c r="T31" s="1427"/>
      <c r="U31" s="1427"/>
      <c r="V31" s="1427"/>
      <c r="W31" s="1427"/>
      <c r="X31" s="1427"/>
      <c r="Y31" s="1427"/>
      <c r="Z31" s="1427"/>
      <c r="AA31" s="1427"/>
      <c r="AB31" s="1427"/>
      <c r="AC31" s="1427"/>
      <c r="AD31" s="1427"/>
      <c r="AE31" s="1427"/>
      <c r="AF31" s="1427"/>
      <c r="AG31" s="1427"/>
      <c r="AH31" s="1427"/>
      <c r="AI31" s="1427"/>
      <c r="AJ31" s="1427"/>
      <c r="AK31" s="1427"/>
      <c r="AL31" s="1427"/>
      <c r="AM31" s="1427"/>
      <c r="AN31" s="1427"/>
      <c r="AO31" s="1427"/>
      <c r="AP31" s="1427"/>
      <c r="AQ31" s="1427"/>
      <c r="AR31" s="1427"/>
      <c r="AS31" s="1427"/>
      <c r="AT31" s="1427"/>
      <c r="AU31" s="1427"/>
      <c r="AV31" s="1427"/>
      <c r="AW31" s="1427"/>
      <c r="AX31" s="1427"/>
      <c r="AY31" s="1427"/>
      <c r="AZ31" s="1427"/>
      <c r="BA31" s="1427"/>
      <c r="BB31" s="1427"/>
      <c r="BC31" s="1427"/>
      <c r="BD31" s="1427"/>
      <c r="BE31" s="1427"/>
      <c r="BF31" s="1427"/>
      <c r="BG31" s="1427"/>
      <c r="BH31" s="1427"/>
      <c r="BI31" s="1427"/>
      <c r="BJ31" s="1427"/>
      <c r="BK31" s="1427"/>
      <c r="BL31" s="1427"/>
      <c r="BM31" s="1427"/>
      <c r="BN31" s="1427"/>
      <c r="BO31" s="1427"/>
      <c r="BP31" s="1427"/>
      <c r="BQ31" s="1427"/>
      <c r="BR31" s="1427"/>
      <c r="BS31" s="1427"/>
      <c r="BT31" s="1427"/>
      <c r="BU31" s="1427"/>
      <c r="BV31" s="1427"/>
      <c r="BW31" s="1427"/>
      <c r="BX31" s="1427"/>
      <c r="BY31" s="1427"/>
      <c r="BZ31" s="1427"/>
      <c r="CA31" s="1427"/>
      <c r="CB31" s="1427"/>
      <c r="CC31" s="1427"/>
      <c r="CD31" s="1427"/>
      <c r="CE31" s="1427"/>
      <c r="CF31" s="1427"/>
      <c r="CG31" s="1427"/>
      <c r="CH31" s="1427"/>
      <c r="CI31" s="1427"/>
      <c r="CJ31" s="1427"/>
      <c r="CK31" s="1427"/>
      <c r="CL31" s="1427"/>
      <c r="CM31" s="1427"/>
      <c r="CN31" s="1427"/>
      <c r="CO31" s="1427"/>
      <c r="CP31" s="1428"/>
    </row>
    <row r="32" spans="2:94" s="1278" customFormat="1" ht="30" customHeight="1" thickBot="1" x14ac:dyDescent="0.35">
      <c r="B32" s="1729"/>
      <c r="C32" s="1444" t="s">
        <v>1331</v>
      </c>
      <c r="D32" s="1446" t="s">
        <v>1332</v>
      </c>
      <c r="E32" s="1280" t="s">
        <v>1326</v>
      </c>
      <c r="F32" s="1279"/>
      <c r="G32" s="1279"/>
      <c r="H32" s="1279" t="s">
        <v>163</v>
      </c>
      <c r="I32" s="1283"/>
      <c r="J32" s="1282"/>
      <c r="K32" s="1282"/>
      <c r="L32" s="1282"/>
      <c r="M32" s="1282"/>
      <c r="N32" s="1434" t="str">
        <f>IF((N26+N27)*N29&lt;&gt;0,(N26+N27)*N29,"")</f>
        <v/>
      </c>
      <c r="O32" s="1435">
        <v>0.17096017226274249</v>
      </c>
      <c r="P32" s="1435">
        <v>0.41068324196409639</v>
      </c>
      <c r="Q32" s="1435">
        <v>0.79030959698443837</v>
      </c>
      <c r="R32" s="1435">
        <v>1.1385073525277378</v>
      </c>
      <c r="S32" s="1435">
        <v>1.457146669942516</v>
      </c>
      <c r="T32" s="1435">
        <v>1.7480011241934097</v>
      </c>
      <c r="U32" s="1435">
        <v>2.3604428276930265</v>
      </c>
      <c r="V32" s="1435">
        <v>3.2561883347962142</v>
      </c>
      <c r="W32" s="1435">
        <v>4.7244520595437072</v>
      </c>
      <c r="X32" s="1435">
        <v>6.0681976374275886</v>
      </c>
      <c r="Y32" s="1435">
        <v>5.8668833005413186</v>
      </c>
      <c r="Z32" s="1435">
        <v>5.5882354646773518</v>
      </c>
      <c r="AA32" s="1435">
        <v>5.3217242982014046</v>
      </c>
      <c r="AB32" s="1435">
        <v>5.0668476114724319</v>
      </c>
      <c r="AC32" s="1435">
        <v>4.8231233004705159</v>
      </c>
      <c r="AD32" s="1435">
        <v>4.590088562628333</v>
      </c>
      <c r="AE32" s="1435">
        <v>4.3672991427292436</v>
      </c>
      <c r="AF32" s="1435">
        <v>4.1543286077352581</v>
      </c>
      <c r="AG32" s="1435">
        <v>3.9507676494506185</v>
      </c>
      <c r="AH32" s="1435">
        <v>3.756223413967676</v>
      </c>
      <c r="AI32" s="1435">
        <v>3.5703188568811135</v>
      </c>
      <c r="AJ32" s="1435">
        <v>3.3926921232945721</v>
      </c>
      <c r="AK32" s="1435">
        <v>3.2229959516802271</v>
      </c>
      <c r="AL32" s="1435">
        <v>3.060897100687062</v>
      </c>
      <c r="AM32" s="1435">
        <v>2.9060757980274841</v>
      </c>
      <c r="AN32" s="1435">
        <v>2.7595778537603879</v>
      </c>
      <c r="AO32" s="1435">
        <v>2.6203181890729579</v>
      </c>
      <c r="AP32" s="1435">
        <v>2.4885840423594487</v>
      </c>
      <c r="AQ32" s="1435">
        <v>2.3627629850041778</v>
      </c>
      <c r="AR32" s="1435">
        <v>2.242605742583677</v>
      </c>
      <c r="AS32" s="1435">
        <v>2.1382026191492267</v>
      </c>
      <c r="AT32" s="1435">
        <v>2.0407564603415045</v>
      </c>
      <c r="AU32" s="1435">
        <v>1.949869670779135</v>
      </c>
      <c r="AV32" s="1435">
        <v>1.8677825316460956</v>
      </c>
      <c r="AW32" s="1435">
        <v>1.788823022350666</v>
      </c>
      <c r="AX32" s="1435">
        <v>1.7005387774489626</v>
      </c>
      <c r="AY32" s="1435">
        <v>1.6158797805582032</v>
      </c>
      <c r="AZ32" s="1435">
        <v>1.5347097469138797</v>
      </c>
      <c r="BA32" s="1435">
        <v>1.4568972552402579</v>
      </c>
      <c r="BB32" s="1435">
        <v>1.3823155800556615</v>
      </c>
      <c r="BC32" s="1435">
        <v>1.3344306402545327</v>
      </c>
      <c r="BD32" s="1435">
        <v>1.2996129850553255</v>
      </c>
      <c r="BE32" s="1435">
        <v>1.2879255533918883</v>
      </c>
      <c r="BF32" s="1435">
        <v>1.2758164340955462</v>
      </c>
      <c r="BG32" s="1435">
        <v>1.2633201063671753</v>
      </c>
      <c r="BH32" s="1435">
        <v>1.2504693986434494</v>
      </c>
      <c r="BI32" s="1435">
        <v>1.2866822337601529</v>
      </c>
      <c r="BJ32" s="1435">
        <v>1.3676729960432537</v>
      </c>
      <c r="BK32" s="1435">
        <v>1.5359576723474948</v>
      </c>
      <c r="BL32" s="1435">
        <v>1.6932791111250689</v>
      </c>
      <c r="BM32" s="1435">
        <v>1.6213697021406586</v>
      </c>
      <c r="BN32" s="1435">
        <v>1.5525203110880996</v>
      </c>
      <c r="BO32" s="1435">
        <v>1.4869033604543551</v>
      </c>
      <c r="BP32" s="1435">
        <v>1.4237916970947986</v>
      </c>
      <c r="BQ32" s="1435">
        <v>1.3630950471872278</v>
      </c>
      <c r="BR32" s="1435">
        <v>1.3047262702525131</v>
      </c>
      <c r="BS32" s="1435">
        <v>1.2499279044968572</v>
      </c>
      <c r="BT32" s="1435">
        <v>1.1985028408276821</v>
      </c>
      <c r="BU32" s="1435">
        <v>1.1515140448461165</v>
      </c>
      <c r="BV32" s="1435">
        <v>1.1062457267935886</v>
      </c>
      <c r="BW32" s="1435">
        <v>1.0567439645399281</v>
      </c>
      <c r="BX32" s="1435">
        <v>1.0091873316605369</v>
      </c>
      <c r="BY32" s="1435">
        <v>0.9635045137909114</v>
      </c>
      <c r="BZ32" s="1435">
        <v>0.91962670067748165</v>
      </c>
      <c r="CA32" s="1435">
        <v>0.87748750080563775</v>
      </c>
      <c r="CB32" s="1435">
        <v>0.83702285887655004</v>
      </c>
      <c r="CC32" s="1435">
        <v>0.79817097603926401</v>
      </c>
      <c r="CD32" s="1435">
        <v>0.76087223278757099</v>
      </c>
      <c r="CE32" s="1435">
        <v>0.72506911443409572</v>
      </c>
      <c r="CF32" s="1435">
        <v>0.69070613907688394</v>
      </c>
      <c r="CG32" s="1435">
        <v>0.65772978797651549</v>
      </c>
      <c r="CH32" s="1435">
        <v>0.62608843826443372</v>
      </c>
      <c r="CI32" s="1435">
        <v>0.59573229790575766</v>
      </c>
      <c r="CJ32" s="1435">
        <v>0.56661334284232912</v>
      </c>
      <c r="CK32" s="1435">
        <v>0.53868525624417019</v>
      </c>
      <c r="CL32" s="1435">
        <v>0.51470456392013308</v>
      </c>
      <c r="CM32" s="1435">
        <v>0.49172154989101508</v>
      </c>
      <c r="CN32" s="1435">
        <v>0.46984292004088057</v>
      </c>
      <c r="CO32" s="1435">
        <v>0.44873902314602288</v>
      </c>
      <c r="CP32" s="1436">
        <v>0.42838508260175245</v>
      </c>
    </row>
    <row r="33" spans="2:94" s="1278" customFormat="1" ht="30" customHeight="1" thickBot="1" x14ac:dyDescent="0.35">
      <c r="B33" s="1730"/>
      <c r="C33" s="1442" t="s">
        <v>1331</v>
      </c>
      <c r="D33" s="1438" t="s">
        <v>1332</v>
      </c>
      <c r="E33" s="1280" t="s">
        <v>1327</v>
      </c>
      <c r="F33" s="1279"/>
      <c r="G33" s="1279"/>
      <c r="H33" s="1279" t="s">
        <v>163</v>
      </c>
      <c r="I33" s="1731">
        <f>IF(SUM($N32:$CP32)&lt;&gt;0,SUM($N32:$CP32),"")</f>
        <v>156.74341208883197</v>
      </c>
      <c r="J33" s="1732"/>
      <c r="K33" s="1732"/>
      <c r="L33" s="1732"/>
      <c r="M33" s="1733"/>
    </row>
    <row r="34" spans="2:94" ht="30" customHeight="1" x14ac:dyDescent="0.3">
      <c r="B34" s="1728" t="s">
        <v>1313</v>
      </c>
      <c r="C34" s="1444" t="s">
        <v>1333</v>
      </c>
      <c r="D34" s="1446" t="s">
        <v>1334</v>
      </c>
      <c r="E34" s="1269" t="s">
        <v>1316</v>
      </c>
      <c r="F34" s="1288"/>
      <c r="G34" s="1288"/>
      <c r="H34" s="1270" t="s">
        <v>163</v>
      </c>
      <c r="I34" s="1266"/>
      <c r="J34" s="1265"/>
      <c r="K34" s="1265"/>
      <c r="L34" s="1265"/>
      <c r="M34" s="1265"/>
      <c r="N34" s="1423"/>
      <c r="O34" s="1424">
        <v>0.40104756096680927</v>
      </c>
      <c r="P34" s="1424">
        <v>0.60157134145021385</v>
      </c>
      <c r="Q34" s="1424">
        <v>1.0026189024170231</v>
      </c>
      <c r="R34" s="1424">
        <v>1.0026189024170231</v>
      </c>
      <c r="S34" s="1424">
        <v>1.0026189024170231</v>
      </c>
      <c r="T34" s="1424">
        <v>1.0026189024170231</v>
      </c>
      <c r="U34" s="1424">
        <v>2.0052378048340462</v>
      </c>
      <c r="V34" s="1424">
        <v>3.0078567072510691</v>
      </c>
      <c r="W34" s="1424">
        <v>5.0130945120851154</v>
      </c>
      <c r="X34" s="1424">
        <v>5.0130945120851154</v>
      </c>
      <c r="Y34" s="1424">
        <v>0</v>
      </c>
      <c r="Z34" s="1424">
        <v>0</v>
      </c>
      <c r="AA34" s="1424">
        <v>0</v>
      </c>
      <c r="AB34" s="1424">
        <v>0</v>
      </c>
      <c r="AC34" s="1424">
        <v>0</v>
      </c>
      <c r="AD34" s="1424">
        <v>0</v>
      </c>
      <c r="AE34" s="1424">
        <v>0</v>
      </c>
      <c r="AF34" s="1424">
        <v>0</v>
      </c>
      <c r="AG34" s="1424">
        <v>0</v>
      </c>
      <c r="AH34" s="1424">
        <v>0</v>
      </c>
      <c r="AI34" s="1424">
        <v>0</v>
      </c>
      <c r="AJ34" s="1424">
        <v>0</v>
      </c>
      <c r="AK34" s="1424">
        <v>0</v>
      </c>
      <c r="AL34" s="1424">
        <v>0</v>
      </c>
      <c r="AM34" s="1424">
        <v>0</v>
      </c>
      <c r="AN34" s="1424">
        <v>0.10983469786121083</v>
      </c>
      <c r="AO34" s="1424">
        <v>0.16475204679181621</v>
      </c>
      <c r="AP34" s="1424">
        <v>0.27458674465302702</v>
      </c>
      <c r="AQ34" s="1424">
        <v>0.27458674465302702</v>
      </c>
      <c r="AR34" s="1424">
        <v>0.27458674465302702</v>
      </c>
      <c r="AS34" s="1424">
        <v>0.27458674465302702</v>
      </c>
      <c r="AT34" s="1424">
        <v>0.54917348930605403</v>
      </c>
      <c r="AU34" s="1424">
        <v>0.82376023395908116</v>
      </c>
      <c r="AV34" s="1424">
        <v>1.3729337232651351</v>
      </c>
      <c r="AW34" s="1424">
        <v>1.3729337232651351</v>
      </c>
      <c r="AX34" s="1424">
        <v>0</v>
      </c>
      <c r="AY34" s="1424">
        <v>0</v>
      </c>
      <c r="AZ34" s="1424">
        <v>0</v>
      </c>
      <c r="BA34" s="1424">
        <v>0</v>
      </c>
      <c r="BB34" s="1424">
        <v>0</v>
      </c>
      <c r="BC34" s="1424">
        <v>0.28644397000894078</v>
      </c>
      <c r="BD34" s="1424">
        <v>0.4296659550134112</v>
      </c>
      <c r="BE34" s="1424">
        <v>0.71610992502235193</v>
      </c>
      <c r="BF34" s="1424">
        <v>0.71610992502235193</v>
      </c>
      <c r="BG34" s="1424">
        <v>0.71610992502235193</v>
      </c>
      <c r="BH34" s="1424">
        <v>0.71610992502235193</v>
      </c>
      <c r="BI34" s="1424">
        <v>1.4322198500447039</v>
      </c>
      <c r="BJ34" s="1424">
        <v>2.1483297750670554</v>
      </c>
      <c r="BK34" s="1424">
        <v>3.5805496251117601</v>
      </c>
      <c r="BL34" s="1424">
        <v>3.5805496251117601</v>
      </c>
      <c r="BM34" s="1424">
        <v>0.10983469786121083</v>
      </c>
      <c r="BN34" s="1424">
        <v>0.16475204679181621</v>
      </c>
      <c r="BO34" s="1424">
        <v>0.27458674465302702</v>
      </c>
      <c r="BP34" s="1424">
        <v>0.27458674465302702</v>
      </c>
      <c r="BQ34" s="1424">
        <v>0.27458674465302702</v>
      </c>
      <c r="BR34" s="1424">
        <v>0.27458674465302702</v>
      </c>
      <c r="BS34" s="1424">
        <v>0.54917348930605403</v>
      </c>
      <c r="BT34" s="1424">
        <v>0.82376023395908116</v>
      </c>
      <c r="BU34" s="1424">
        <v>1.3729337232651351</v>
      </c>
      <c r="BV34" s="1424">
        <v>1.3729337232651351</v>
      </c>
      <c r="BW34" s="1424">
        <v>0</v>
      </c>
      <c r="BX34" s="1424">
        <v>0</v>
      </c>
      <c r="BY34" s="1424">
        <v>0</v>
      </c>
      <c r="BZ34" s="1424">
        <v>0</v>
      </c>
      <c r="CA34" s="1424">
        <v>0</v>
      </c>
      <c r="CB34" s="1424">
        <v>0</v>
      </c>
      <c r="CC34" s="1424">
        <v>0</v>
      </c>
      <c r="CD34" s="1424">
        <v>0</v>
      </c>
      <c r="CE34" s="1424">
        <v>0</v>
      </c>
      <c r="CF34" s="1424">
        <v>0</v>
      </c>
      <c r="CG34" s="1424">
        <v>0</v>
      </c>
      <c r="CH34" s="1424">
        <v>0</v>
      </c>
      <c r="CI34" s="1424">
        <v>0</v>
      </c>
      <c r="CJ34" s="1424">
        <v>0</v>
      </c>
      <c r="CK34" s="1424">
        <v>0</v>
      </c>
      <c r="CL34" s="1424">
        <v>0.10983469786121083</v>
      </c>
      <c r="CM34" s="1424">
        <v>0.16475204679181621</v>
      </c>
      <c r="CN34" s="1424">
        <v>0.27458674465302702</v>
      </c>
      <c r="CO34" s="1424">
        <v>0.27458674465302702</v>
      </c>
      <c r="CP34" s="1425">
        <v>0.27458674465302702</v>
      </c>
    </row>
    <row r="35" spans="2:94" ht="30" customHeight="1" x14ac:dyDescent="0.3">
      <c r="B35" s="1729"/>
      <c r="C35" s="1444" t="s">
        <v>1333</v>
      </c>
      <c r="D35" s="1446" t="s">
        <v>1334</v>
      </c>
      <c r="E35" s="1260" t="s">
        <v>1317</v>
      </c>
      <c r="F35" s="1287"/>
      <c r="G35" s="1287"/>
      <c r="H35" s="1264" t="s">
        <v>1318</v>
      </c>
      <c r="I35" s="1261"/>
      <c r="J35" s="1259"/>
      <c r="K35" s="1259"/>
      <c r="L35" s="1259"/>
      <c r="M35" s="1259"/>
      <c r="N35" s="1426"/>
      <c r="O35" s="1427">
        <v>0</v>
      </c>
      <c r="P35" s="1427">
        <v>0</v>
      </c>
      <c r="Q35" s="1427">
        <v>0</v>
      </c>
      <c r="R35" s="1427">
        <v>0</v>
      </c>
      <c r="S35" s="1427">
        <v>0</v>
      </c>
      <c r="T35" s="1427">
        <v>0</v>
      </c>
      <c r="U35" s="1427">
        <v>0</v>
      </c>
      <c r="V35" s="1427">
        <v>0</v>
      </c>
      <c r="W35" s="1427">
        <v>0</v>
      </c>
      <c r="X35" s="1427">
        <v>0</v>
      </c>
      <c r="Y35" s="1427">
        <v>0.12265157456197721</v>
      </c>
      <c r="Z35" s="1427">
        <v>0.12265157456197721</v>
      </c>
      <c r="AA35" s="1427">
        <v>0.12265157456197721</v>
      </c>
      <c r="AB35" s="1427">
        <v>0.12265157456197721</v>
      </c>
      <c r="AC35" s="1427">
        <v>0.12265157456197721</v>
      </c>
      <c r="AD35" s="1427">
        <v>0.12265157456197721</v>
      </c>
      <c r="AE35" s="1427">
        <v>0.12265157456197721</v>
      </c>
      <c r="AF35" s="1427">
        <v>0.12265157456197721</v>
      </c>
      <c r="AG35" s="1427">
        <v>0.12265157456197721</v>
      </c>
      <c r="AH35" s="1427">
        <v>0.12265157456197721</v>
      </c>
      <c r="AI35" s="1427">
        <v>0.12265157456197721</v>
      </c>
      <c r="AJ35" s="1427">
        <v>0.12265157456197721</v>
      </c>
      <c r="AK35" s="1427">
        <v>0.12265157456197721</v>
      </c>
      <c r="AL35" s="1427">
        <v>0.12265157456197721</v>
      </c>
      <c r="AM35" s="1427">
        <v>0.12265157456197721</v>
      </c>
      <c r="AN35" s="1427">
        <v>0.12265157456197721</v>
      </c>
      <c r="AO35" s="1427">
        <v>0.12265157456197721</v>
      </c>
      <c r="AP35" s="1427">
        <v>0.12265157456197721</v>
      </c>
      <c r="AQ35" s="1427">
        <v>0.12265157456197721</v>
      </c>
      <c r="AR35" s="1427">
        <v>0.12265157456197721</v>
      </c>
      <c r="AS35" s="1427">
        <v>0.12265157456197721</v>
      </c>
      <c r="AT35" s="1427">
        <v>0.12265157456197721</v>
      </c>
      <c r="AU35" s="1427">
        <v>0.12265157456197721</v>
      </c>
      <c r="AV35" s="1427">
        <v>0.12265157456197721</v>
      </c>
      <c r="AW35" s="1427">
        <v>0.12265157456197721</v>
      </c>
      <c r="AX35" s="1427">
        <v>0.12265157456197721</v>
      </c>
      <c r="AY35" s="1427">
        <v>0.12265157456197721</v>
      </c>
      <c r="AZ35" s="1427">
        <v>0.12265157456197721</v>
      </c>
      <c r="BA35" s="1427">
        <v>0.12265157456197721</v>
      </c>
      <c r="BB35" s="1427">
        <v>0.12265157456197721</v>
      </c>
      <c r="BC35" s="1427">
        <v>0.12265157456197721</v>
      </c>
      <c r="BD35" s="1427">
        <v>0.12265157456197721</v>
      </c>
      <c r="BE35" s="1427">
        <v>0.12265157456197721</v>
      </c>
      <c r="BF35" s="1427">
        <v>0.12265157456197721</v>
      </c>
      <c r="BG35" s="1427">
        <v>0.12265157456197721</v>
      </c>
      <c r="BH35" s="1427">
        <v>0.12265157456197721</v>
      </c>
      <c r="BI35" s="1427">
        <v>0.12265157456197721</v>
      </c>
      <c r="BJ35" s="1427">
        <v>0.12265157456197721</v>
      </c>
      <c r="BK35" s="1427">
        <v>0.12265157456197721</v>
      </c>
      <c r="BL35" s="1427">
        <v>0.12265157456197721</v>
      </c>
      <c r="BM35" s="1427">
        <v>0.12265157456197721</v>
      </c>
      <c r="BN35" s="1427">
        <v>0.12265157456197721</v>
      </c>
      <c r="BO35" s="1427">
        <v>0.12265157456197721</v>
      </c>
      <c r="BP35" s="1427">
        <v>0.12265157456197721</v>
      </c>
      <c r="BQ35" s="1427">
        <v>0.12265157456197721</v>
      </c>
      <c r="BR35" s="1427">
        <v>0.12265157456197721</v>
      </c>
      <c r="BS35" s="1427">
        <v>0.12265157456197721</v>
      </c>
      <c r="BT35" s="1427">
        <v>0.12265157456197721</v>
      </c>
      <c r="BU35" s="1427">
        <v>0.12265157456197721</v>
      </c>
      <c r="BV35" s="1427">
        <v>0.12265157456197721</v>
      </c>
      <c r="BW35" s="1427">
        <v>0.12265157456197721</v>
      </c>
      <c r="BX35" s="1427">
        <v>0.12265157456197721</v>
      </c>
      <c r="BY35" s="1427">
        <v>0.12265157456197721</v>
      </c>
      <c r="BZ35" s="1427">
        <v>0.12265157456197721</v>
      </c>
      <c r="CA35" s="1427">
        <v>0.12265157456197721</v>
      </c>
      <c r="CB35" s="1427">
        <v>0.12265157456197721</v>
      </c>
      <c r="CC35" s="1427">
        <v>0.12265157456197721</v>
      </c>
      <c r="CD35" s="1427">
        <v>0.12265157456197721</v>
      </c>
      <c r="CE35" s="1427">
        <v>0.12265157456197721</v>
      </c>
      <c r="CF35" s="1427">
        <v>0.12265157456197721</v>
      </c>
      <c r="CG35" s="1427">
        <v>0.12265157456197721</v>
      </c>
      <c r="CH35" s="1427">
        <v>0.12265157456197721</v>
      </c>
      <c r="CI35" s="1427">
        <v>0.12265157456197721</v>
      </c>
      <c r="CJ35" s="1427">
        <v>0.12265157456197721</v>
      </c>
      <c r="CK35" s="1427">
        <v>0.12265157456197721</v>
      </c>
      <c r="CL35" s="1427">
        <v>0.12265157456197721</v>
      </c>
      <c r="CM35" s="1427">
        <v>0.12265157456197721</v>
      </c>
      <c r="CN35" s="1427">
        <v>0.12265157456197721</v>
      </c>
      <c r="CO35" s="1427">
        <v>0.12265157456197721</v>
      </c>
      <c r="CP35" s="1428">
        <v>0.12265157456197721</v>
      </c>
    </row>
    <row r="36" spans="2:94" ht="30" customHeight="1" x14ac:dyDescent="0.3">
      <c r="B36" s="1729"/>
      <c r="C36" s="1444" t="s">
        <v>1333</v>
      </c>
      <c r="D36" s="1446" t="s">
        <v>1334</v>
      </c>
      <c r="E36" s="1260" t="s">
        <v>1319</v>
      </c>
      <c r="F36" s="1287"/>
      <c r="G36" s="1287"/>
      <c r="H36" s="1264" t="s">
        <v>1318</v>
      </c>
      <c r="I36" s="1261"/>
      <c r="J36" s="1259"/>
      <c r="K36" s="1259"/>
      <c r="L36" s="1259"/>
      <c r="M36" s="1259"/>
      <c r="N36" s="1426"/>
      <c r="O36" s="1427">
        <v>2.3155121273016652E-2</v>
      </c>
      <c r="P36" s="1427">
        <v>5.7548671511352921E-2</v>
      </c>
      <c r="Q36" s="1427">
        <v>0.11458864551592281</v>
      </c>
      <c r="R36" s="1427">
        <v>0.17078079034252094</v>
      </c>
      <c r="S36" s="1427">
        <v>0.2261251059911473</v>
      </c>
      <c r="T36" s="1427">
        <v>0.28062159246180191</v>
      </c>
      <c r="U36" s="1427">
        <v>0.39215805293702649</v>
      </c>
      <c r="V36" s="1427">
        <v>0.55988665823884909</v>
      </c>
      <c r="W36" s="1427">
        <v>0.84084738237183965</v>
      </c>
      <c r="X36" s="1427">
        <v>1.1175689606149717</v>
      </c>
      <c r="Y36" s="1427">
        <v>1.1006123770555365</v>
      </c>
      <c r="Z36" s="1427">
        <v>1.0836557934961015</v>
      </c>
      <c r="AA36" s="1427">
        <v>1.0666992099366661</v>
      </c>
      <c r="AB36" s="1427">
        <v>1.0497426263772314</v>
      </c>
      <c r="AC36" s="1427">
        <v>1.0327860428177962</v>
      </c>
      <c r="AD36" s="1427">
        <v>1.0158294592583612</v>
      </c>
      <c r="AE36" s="1427">
        <v>0.99887287569892602</v>
      </c>
      <c r="AF36" s="1427">
        <v>0.98191629213949116</v>
      </c>
      <c r="AG36" s="1427">
        <v>0.96495970858005609</v>
      </c>
      <c r="AH36" s="1427">
        <v>0.94800312502062101</v>
      </c>
      <c r="AI36" s="1427">
        <v>0.93104654146118593</v>
      </c>
      <c r="AJ36" s="1427">
        <v>0.91408995790175085</v>
      </c>
      <c r="AK36" s="1427">
        <v>0.89713337434231577</v>
      </c>
      <c r="AL36" s="1427">
        <v>0.88017679078288069</v>
      </c>
      <c r="AM36" s="1427">
        <v>0.86322020722344561</v>
      </c>
      <c r="AN36" s="1427">
        <v>0.84947079684155791</v>
      </c>
      <c r="AO36" s="1427">
        <v>0.83732497304844378</v>
      </c>
      <c r="AP36" s="1427">
        <v>0.82838632243287713</v>
      </c>
      <c r="AQ36" s="1427">
        <v>0.81944767181731049</v>
      </c>
      <c r="AR36" s="1427">
        <v>0.81050902120174384</v>
      </c>
      <c r="AS36" s="1427">
        <v>0.80157037058617719</v>
      </c>
      <c r="AT36" s="1427">
        <v>0.80064965291447887</v>
      </c>
      <c r="AU36" s="1427">
        <v>0.8077468681866492</v>
      </c>
      <c r="AV36" s="1427">
        <v>0.83087994934655607</v>
      </c>
      <c r="AW36" s="1427">
        <v>0.85401303050646293</v>
      </c>
      <c r="AX36" s="1427">
        <v>0.83705644694702774</v>
      </c>
      <c r="AY36" s="1427">
        <v>0.82009986338759266</v>
      </c>
      <c r="AZ36" s="1427">
        <v>0.8031432798281577</v>
      </c>
      <c r="BA36" s="1427">
        <v>0.78618669626872273</v>
      </c>
      <c r="BB36" s="1427">
        <v>0.76923011270928765</v>
      </c>
      <c r="BC36" s="1427">
        <v>0.76063769307411366</v>
      </c>
      <c r="BD36" s="1427">
        <v>0.75622735540107022</v>
      </c>
      <c r="BE36" s="1427">
        <v>0.76018118165228765</v>
      </c>
      <c r="BF36" s="1427">
        <v>0.76413500790350541</v>
      </c>
      <c r="BG36" s="1427">
        <v>0.76808883415472295</v>
      </c>
      <c r="BH36" s="1427">
        <v>0.77204266040594072</v>
      </c>
      <c r="BI36" s="1427">
        <v>0.7969068964678111</v>
      </c>
      <c r="BJ36" s="1427">
        <v>0.8426815423403341</v>
      </c>
      <c r="BK36" s="1427">
        <v>0.93027700783416234</v>
      </c>
      <c r="BL36" s="1427">
        <v>1.0178724733279907</v>
      </c>
      <c r="BM36" s="1427">
        <v>1.0041230629461029</v>
      </c>
      <c r="BN36" s="1427">
        <v>0.99197723915298897</v>
      </c>
      <c r="BO36" s="1427">
        <v>0.98303858853742232</v>
      </c>
      <c r="BP36" s="1427">
        <v>0.97409993792185556</v>
      </c>
      <c r="BQ36" s="1427">
        <v>0.96516128730628881</v>
      </c>
      <c r="BR36" s="1427">
        <v>0.95622263669072216</v>
      </c>
      <c r="BS36" s="1427">
        <v>0.95530191901902395</v>
      </c>
      <c r="BT36" s="1427">
        <v>0.96239913429119406</v>
      </c>
      <c r="BU36" s="1427">
        <v>0.98553221545110092</v>
      </c>
      <c r="BV36" s="1427">
        <v>1.0086652966110077</v>
      </c>
      <c r="BW36" s="1427">
        <v>0.99170871305157293</v>
      </c>
      <c r="BX36" s="1427">
        <v>0.97475212949213774</v>
      </c>
      <c r="BY36" s="1427">
        <v>0.95779554593270277</v>
      </c>
      <c r="BZ36" s="1427">
        <v>0.94083896237326758</v>
      </c>
      <c r="CA36" s="1427">
        <v>0.92388237881383262</v>
      </c>
      <c r="CB36" s="1427">
        <v>0.90692579525439765</v>
      </c>
      <c r="CC36" s="1427">
        <v>0.88996921169496246</v>
      </c>
      <c r="CD36" s="1427">
        <v>0.87301262813552738</v>
      </c>
      <c r="CE36" s="1427">
        <v>0.8560560445760923</v>
      </c>
      <c r="CF36" s="1427">
        <v>0.83909946101665733</v>
      </c>
      <c r="CG36" s="1427">
        <v>0.82214287745722237</v>
      </c>
      <c r="CH36" s="1427">
        <v>0.80518629389778718</v>
      </c>
      <c r="CI36" s="1427">
        <v>0.7882297103383521</v>
      </c>
      <c r="CJ36" s="1427">
        <v>0.77127312677891713</v>
      </c>
      <c r="CK36" s="1427">
        <v>0.75431654321948205</v>
      </c>
      <c r="CL36" s="1427">
        <v>0.74056713283759423</v>
      </c>
      <c r="CM36" s="1427">
        <v>0.72842130904448021</v>
      </c>
      <c r="CN36" s="1427">
        <v>0.71948265842891357</v>
      </c>
      <c r="CO36" s="1427">
        <v>0.71054400781334703</v>
      </c>
      <c r="CP36" s="1428">
        <v>0.70160535719778028</v>
      </c>
    </row>
    <row r="37" spans="2:94" ht="30" customHeight="1" x14ac:dyDescent="0.3">
      <c r="B37" s="1729"/>
      <c r="C37" s="1444" t="s">
        <v>1333</v>
      </c>
      <c r="D37" s="1446" t="s">
        <v>1334</v>
      </c>
      <c r="E37" s="1260" t="s">
        <v>1320</v>
      </c>
      <c r="F37" s="1287"/>
      <c r="G37" s="1287"/>
      <c r="H37" s="1264" t="s">
        <v>1318</v>
      </c>
      <c r="I37" s="1261"/>
      <c r="J37" s="1259"/>
      <c r="K37" s="1259"/>
      <c r="L37" s="1259"/>
      <c r="M37" s="1259"/>
      <c r="N37" s="1426"/>
      <c r="O37" s="1427"/>
      <c r="P37" s="1427">
        <v>3.5000000000000003E-2</v>
      </c>
      <c r="Q37" s="1427">
        <v>3.5000000000000003E-2</v>
      </c>
      <c r="R37" s="1427">
        <v>3.5000000000000003E-2</v>
      </c>
      <c r="S37" s="1427">
        <v>3.5000000000000003E-2</v>
      </c>
      <c r="T37" s="1427">
        <v>3.5000000000000003E-2</v>
      </c>
      <c r="U37" s="1427">
        <v>3.5000000000000003E-2</v>
      </c>
      <c r="V37" s="1427">
        <v>3.5000000000000003E-2</v>
      </c>
      <c r="W37" s="1427">
        <v>3.5000000000000003E-2</v>
      </c>
      <c r="X37" s="1427">
        <v>3.5000000000000003E-2</v>
      </c>
      <c r="Y37" s="1427">
        <v>3.5000000000000003E-2</v>
      </c>
      <c r="Z37" s="1427">
        <v>3.5000000000000003E-2</v>
      </c>
      <c r="AA37" s="1427">
        <v>3.5000000000000003E-2</v>
      </c>
      <c r="AB37" s="1427">
        <v>3.5000000000000003E-2</v>
      </c>
      <c r="AC37" s="1427">
        <v>3.5000000000000003E-2</v>
      </c>
      <c r="AD37" s="1427">
        <v>3.5000000000000003E-2</v>
      </c>
      <c r="AE37" s="1427">
        <v>3.5000000000000003E-2</v>
      </c>
      <c r="AF37" s="1427">
        <v>3.5000000000000003E-2</v>
      </c>
      <c r="AG37" s="1427">
        <v>3.5000000000000003E-2</v>
      </c>
      <c r="AH37" s="1427">
        <v>3.5000000000000003E-2</v>
      </c>
      <c r="AI37" s="1427">
        <v>3.5000000000000003E-2</v>
      </c>
      <c r="AJ37" s="1427">
        <v>3.5000000000000003E-2</v>
      </c>
      <c r="AK37" s="1427">
        <v>3.5000000000000003E-2</v>
      </c>
      <c r="AL37" s="1427">
        <v>3.5000000000000003E-2</v>
      </c>
      <c r="AM37" s="1427">
        <v>3.5000000000000003E-2</v>
      </c>
      <c r="AN37" s="1427">
        <v>3.5000000000000003E-2</v>
      </c>
      <c r="AO37" s="1427">
        <v>3.5000000000000003E-2</v>
      </c>
      <c r="AP37" s="1427">
        <v>3.5000000000000003E-2</v>
      </c>
      <c r="AQ37" s="1427">
        <v>3.5000000000000003E-2</v>
      </c>
      <c r="AR37" s="1427">
        <v>3.5000000000000003E-2</v>
      </c>
      <c r="AS37" s="1427">
        <v>0.03</v>
      </c>
      <c r="AT37" s="1427">
        <v>0.03</v>
      </c>
      <c r="AU37" s="1427">
        <v>0.03</v>
      </c>
      <c r="AV37" s="1427">
        <v>0.03</v>
      </c>
      <c r="AW37" s="1427">
        <v>0.03</v>
      </c>
      <c r="AX37" s="1427">
        <v>0.03</v>
      </c>
      <c r="AY37" s="1427">
        <v>0.03</v>
      </c>
      <c r="AZ37" s="1427">
        <v>0.03</v>
      </c>
      <c r="BA37" s="1427">
        <v>0.03</v>
      </c>
      <c r="BB37" s="1427">
        <v>0.03</v>
      </c>
      <c r="BC37" s="1427">
        <v>0.03</v>
      </c>
      <c r="BD37" s="1427">
        <v>0.03</v>
      </c>
      <c r="BE37" s="1427">
        <v>0.03</v>
      </c>
      <c r="BF37" s="1427">
        <v>0.03</v>
      </c>
      <c r="BG37" s="1427">
        <v>0.03</v>
      </c>
      <c r="BH37" s="1427">
        <v>0.03</v>
      </c>
      <c r="BI37" s="1427">
        <v>0.03</v>
      </c>
      <c r="BJ37" s="1427">
        <v>0.03</v>
      </c>
      <c r="BK37" s="1427">
        <v>0.03</v>
      </c>
      <c r="BL37" s="1427">
        <v>0.03</v>
      </c>
      <c r="BM37" s="1427">
        <v>0.03</v>
      </c>
      <c r="BN37" s="1427">
        <v>0.03</v>
      </c>
      <c r="BO37" s="1427">
        <v>0.03</v>
      </c>
      <c r="BP37" s="1427">
        <v>0.03</v>
      </c>
      <c r="BQ37" s="1427">
        <v>0.03</v>
      </c>
      <c r="BR37" s="1427">
        <v>0.03</v>
      </c>
      <c r="BS37" s="1427">
        <v>0.03</v>
      </c>
      <c r="BT37" s="1427">
        <v>0.03</v>
      </c>
      <c r="BU37" s="1427">
        <v>0.03</v>
      </c>
      <c r="BV37" s="1427">
        <v>0.03</v>
      </c>
      <c r="BW37" s="1427">
        <v>0.03</v>
      </c>
      <c r="BX37" s="1427">
        <v>0.03</v>
      </c>
      <c r="BY37" s="1427">
        <v>0.03</v>
      </c>
      <c r="BZ37" s="1427">
        <v>0.03</v>
      </c>
      <c r="CA37" s="1427">
        <v>0.03</v>
      </c>
      <c r="CB37" s="1427">
        <v>0.03</v>
      </c>
      <c r="CC37" s="1427">
        <v>0.03</v>
      </c>
      <c r="CD37" s="1427">
        <v>0.03</v>
      </c>
      <c r="CE37" s="1427">
        <v>0.03</v>
      </c>
      <c r="CF37" s="1427">
        <v>0.03</v>
      </c>
      <c r="CG37" s="1427">
        <v>0.03</v>
      </c>
      <c r="CH37" s="1427">
        <v>0.03</v>
      </c>
      <c r="CI37" s="1427">
        <v>0.03</v>
      </c>
      <c r="CJ37" s="1427">
        <v>0.03</v>
      </c>
      <c r="CK37" s="1427">
        <v>0.03</v>
      </c>
      <c r="CL37" s="1427">
        <v>2.5000000000000001E-2</v>
      </c>
      <c r="CM37" s="1427">
        <v>2.5000000000000001E-2</v>
      </c>
      <c r="CN37" s="1427">
        <v>2.5000000000000001E-2</v>
      </c>
      <c r="CO37" s="1427">
        <v>2.5000000000000001E-2</v>
      </c>
      <c r="CP37" s="1428">
        <v>2.5000000000000001E-2</v>
      </c>
    </row>
    <row r="38" spans="2:94" ht="30" customHeight="1" x14ac:dyDescent="0.3">
      <c r="B38" s="1729"/>
      <c r="C38" s="1444" t="s">
        <v>1333</v>
      </c>
      <c r="D38" s="1446" t="s">
        <v>1334</v>
      </c>
      <c r="E38" s="1260" t="s">
        <v>1321</v>
      </c>
      <c r="F38" s="1287"/>
      <c r="G38" s="1287"/>
      <c r="H38" s="1264" t="s">
        <v>1318</v>
      </c>
      <c r="I38" s="1261"/>
      <c r="J38" s="1259"/>
      <c r="K38" s="1259"/>
      <c r="L38" s="1259"/>
      <c r="M38" s="1259"/>
      <c r="N38" s="1426"/>
      <c r="O38" s="1427">
        <v>1</v>
      </c>
      <c r="P38" s="1427">
        <v>0.96618357487922713</v>
      </c>
      <c r="Q38" s="1427">
        <v>0.93351070036640305</v>
      </c>
      <c r="R38" s="1427">
        <v>0.90194270566802237</v>
      </c>
      <c r="S38" s="1427">
        <v>0.87144222769857238</v>
      </c>
      <c r="T38" s="1427">
        <v>0.84197316685852408</v>
      </c>
      <c r="U38" s="1427">
        <v>0.81350064430775282</v>
      </c>
      <c r="V38" s="1427">
        <v>0.78599096068381924</v>
      </c>
      <c r="W38" s="1427">
        <v>0.75941155621625056</v>
      </c>
      <c r="X38" s="1427">
        <v>0.73373097218961414</v>
      </c>
      <c r="Y38" s="1427">
        <v>0.70891881370977217</v>
      </c>
      <c r="Z38" s="1427">
        <v>0.68494571372924851</v>
      </c>
      <c r="AA38" s="1427">
        <v>0.66178329828912907</v>
      </c>
      <c r="AB38" s="1427">
        <v>0.63940415293635666</v>
      </c>
      <c r="AC38" s="1427">
        <v>0.61778179027667313</v>
      </c>
      <c r="AD38" s="1427">
        <v>0.59689061862480497</v>
      </c>
      <c r="AE38" s="1427">
        <v>0.57670591171478747</v>
      </c>
      <c r="AF38" s="1427">
        <v>0.55720377943457733</v>
      </c>
      <c r="AG38" s="1427">
        <v>0.53836113955031628</v>
      </c>
      <c r="AH38" s="1427">
        <v>0.520155690386779</v>
      </c>
      <c r="AI38" s="1427">
        <v>0.50256588443167061</v>
      </c>
      <c r="AJ38" s="1427">
        <v>0.48557090283253201</v>
      </c>
      <c r="AK38" s="1427">
        <v>0.46915063075606961</v>
      </c>
      <c r="AL38" s="1427">
        <v>0.45328563358074364</v>
      </c>
      <c r="AM38" s="1427">
        <v>0.43795713389443836</v>
      </c>
      <c r="AN38" s="1427">
        <v>0.42314698926998878</v>
      </c>
      <c r="AO38" s="1427">
        <v>0.40883767079225974</v>
      </c>
      <c r="AP38" s="1427">
        <v>0.39501224231136212</v>
      </c>
      <c r="AQ38" s="1427">
        <v>0.38165434039745133</v>
      </c>
      <c r="AR38" s="1427">
        <v>0.36874815497338298</v>
      </c>
      <c r="AS38" s="1427">
        <v>0.35800791744988636</v>
      </c>
      <c r="AT38" s="1427">
        <v>0.34758050237853044</v>
      </c>
      <c r="AU38" s="1427">
        <v>0.33745679842575771</v>
      </c>
      <c r="AV38" s="1427">
        <v>0.32762795963665797</v>
      </c>
      <c r="AW38" s="1427">
        <v>0.31808539770549316</v>
      </c>
      <c r="AX38" s="1427">
        <v>0.30882077447135259</v>
      </c>
      <c r="AY38" s="1427">
        <v>0.29982599463238113</v>
      </c>
      <c r="AZ38" s="1427">
        <v>0.29109319867221467</v>
      </c>
      <c r="BA38" s="1427">
        <v>0.2826147559924414</v>
      </c>
      <c r="BB38" s="1427">
        <v>0.27438325824508875</v>
      </c>
      <c r="BC38" s="1427">
        <v>0.26639151285930945</v>
      </c>
      <c r="BD38" s="1427">
        <v>0.25863253675661113</v>
      </c>
      <c r="BE38" s="1427">
        <v>0.25109955024913699</v>
      </c>
      <c r="BF38" s="1427">
        <v>0.24378597111566697</v>
      </c>
      <c r="BG38" s="1427">
        <v>0.23668540885016209</v>
      </c>
      <c r="BH38" s="1427">
        <v>0.22979165907782728</v>
      </c>
      <c r="BI38" s="1427">
        <v>0.22309869813381289</v>
      </c>
      <c r="BJ38" s="1427">
        <v>0.21660067779981834</v>
      </c>
      <c r="BK38" s="1427">
        <v>0.21029192019399839</v>
      </c>
      <c r="BL38" s="1427">
        <v>0.20416691280970717</v>
      </c>
      <c r="BM38" s="1427">
        <v>0.19822030369874483</v>
      </c>
      <c r="BN38" s="1427">
        <v>0.19244689679489788</v>
      </c>
      <c r="BO38" s="1427">
        <v>0.18684164737368725</v>
      </c>
      <c r="BP38" s="1427">
        <v>0.18139965764435656</v>
      </c>
      <c r="BQ38" s="1427">
        <v>0.17611617247024908</v>
      </c>
      <c r="BR38" s="1427">
        <v>0.17098657521383406</v>
      </c>
      <c r="BS38" s="1427">
        <v>0.1660063837027515</v>
      </c>
      <c r="BT38" s="1427">
        <v>0.16117124631335097</v>
      </c>
      <c r="BU38" s="1427">
        <v>0.15647693816830191</v>
      </c>
      <c r="BV38" s="1427">
        <v>0.1519193574449533</v>
      </c>
      <c r="BW38" s="1427">
        <v>0.1474945217912168</v>
      </c>
      <c r="BX38" s="1427">
        <v>0.14319856484584156</v>
      </c>
      <c r="BY38" s="1427">
        <v>0.13902773286004036</v>
      </c>
      <c r="BZ38" s="1427">
        <v>0.13497838141751492</v>
      </c>
      <c r="CA38" s="1427">
        <v>0.13104697225001449</v>
      </c>
      <c r="CB38" s="1427">
        <v>0.12723007014564514</v>
      </c>
      <c r="CC38" s="1427">
        <v>0.12352433994722828</v>
      </c>
      <c r="CD38" s="1427">
        <v>0.11992654363808571</v>
      </c>
      <c r="CE38" s="1427">
        <v>0.11643353751270456</v>
      </c>
      <c r="CF38" s="1427">
        <v>0.11304226942981026</v>
      </c>
      <c r="CG38" s="1427">
        <v>0.10974977614544684</v>
      </c>
      <c r="CH38" s="1427">
        <v>0.10655318072373479</v>
      </c>
      <c r="CI38" s="1427">
        <v>0.10344969002304348</v>
      </c>
      <c r="CJ38" s="1427">
        <v>0.10043659225538201</v>
      </c>
      <c r="CK38" s="1427">
        <v>9.7511254616875737E-2</v>
      </c>
      <c r="CL38" s="1427">
        <v>9.5132931333537313E-2</v>
      </c>
      <c r="CM38" s="1427">
        <v>9.2812615935158368E-2</v>
      </c>
      <c r="CN38" s="1427">
        <v>9.0548893595276458E-2</v>
      </c>
      <c r="CO38" s="1427">
        <v>8.834038399539168E-2</v>
      </c>
      <c r="CP38" s="1428">
        <v>8.6185740483308959E-2</v>
      </c>
    </row>
    <row r="39" spans="2:94" ht="30" customHeight="1" x14ac:dyDescent="0.3">
      <c r="B39" s="1729"/>
      <c r="C39" s="1444" t="s">
        <v>1333</v>
      </c>
      <c r="D39" s="1446" t="s">
        <v>1334</v>
      </c>
      <c r="E39" s="1260" t="s">
        <v>1322</v>
      </c>
      <c r="F39" s="1260" t="s">
        <v>1330</v>
      </c>
      <c r="G39" s="1260"/>
      <c r="H39" s="1260" t="s">
        <v>1324</v>
      </c>
      <c r="I39" s="1261"/>
      <c r="J39" s="1259"/>
      <c r="K39" s="1259"/>
      <c r="L39" s="1259"/>
      <c r="M39" s="1259"/>
      <c r="N39" s="1426"/>
      <c r="O39" s="1427"/>
      <c r="P39" s="1427"/>
      <c r="Q39" s="1427"/>
      <c r="R39" s="1427"/>
      <c r="S39" s="1427"/>
      <c r="T39" s="1427"/>
      <c r="U39" s="1427"/>
      <c r="V39" s="1427"/>
      <c r="W39" s="1427"/>
      <c r="X39" s="1427"/>
      <c r="Y39" s="1427"/>
      <c r="Z39" s="1427"/>
      <c r="AA39" s="1427"/>
      <c r="AB39" s="1427"/>
      <c r="AC39" s="1427"/>
      <c r="AD39" s="1427"/>
      <c r="AE39" s="1427"/>
      <c r="AF39" s="1427"/>
      <c r="AG39" s="1427"/>
      <c r="AH39" s="1427"/>
      <c r="AI39" s="1427"/>
      <c r="AJ39" s="1427"/>
      <c r="AK39" s="1427"/>
      <c r="AL39" s="1427"/>
      <c r="AM39" s="1427"/>
      <c r="AN39" s="1427"/>
      <c r="AO39" s="1427"/>
      <c r="AP39" s="1427"/>
      <c r="AQ39" s="1427"/>
      <c r="AR39" s="1427"/>
      <c r="AS39" s="1427"/>
      <c r="AT39" s="1427"/>
      <c r="AU39" s="1427"/>
      <c r="AV39" s="1427"/>
      <c r="AW39" s="1427"/>
      <c r="AX39" s="1427"/>
      <c r="AY39" s="1427"/>
      <c r="AZ39" s="1427"/>
      <c r="BA39" s="1427"/>
      <c r="BB39" s="1427"/>
      <c r="BC39" s="1427"/>
      <c r="BD39" s="1427"/>
      <c r="BE39" s="1427"/>
      <c r="BF39" s="1427"/>
      <c r="BG39" s="1427"/>
      <c r="BH39" s="1427"/>
      <c r="BI39" s="1427"/>
      <c r="BJ39" s="1427"/>
      <c r="BK39" s="1427"/>
      <c r="BL39" s="1427"/>
      <c r="BM39" s="1427"/>
      <c r="BN39" s="1427"/>
      <c r="BO39" s="1427"/>
      <c r="BP39" s="1427"/>
      <c r="BQ39" s="1427"/>
      <c r="BR39" s="1427"/>
      <c r="BS39" s="1427"/>
      <c r="BT39" s="1427"/>
      <c r="BU39" s="1427"/>
      <c r="BV39" s="1427"/>
      <c r="BW39" s="1427"/>
      <c r="BX39" s="1427"/>
      <c r="BY39" s="1427"/>
      <c r="BZ39" s="1427"/>
      <c r="CA39" s="1427"/>
      <c r="CB39" s="1427"/>
      <c r="CC39" s="1427"/>
      <c r="CD39" s="1427"/>
      <c r="CE39" s="1427"/>
      <c r="CF39" s="1427"/>
      <c r="CG39" s="1427"/>
      <c r="CH39" s="1427"/>
      <c r="CI39" s="1427"/>
      <c r="CJ39" s="1427"/>
      <c r="CK39" s="1427"/>
      <c r="CL39" s="1427"/>
      <c r="CM39" s="1427"/>
      <c r="CN39" s="1427"/>
      <c r="CO39" s="1427"/>
      <c r="CP39" s="1428"/>
    </row>
    <row r="40" spans="2:94" ht="30" customHeight="1" x14ac:dyDescent="0.3">
      <c r="B40" s="1729"/>
      <c r="C40" s="1444" t="s">
        <v>1333</v>
      </c>
      <c r="D40" s="1446" t="s">
        <v>1334</v>
      </c>
      <c r="E40" s="1264" t="s">
        <v>1322</v>
      </c>
      <c r="F40" s="1260" t="s">
        <v>1325</v>
      </c>
      <c r="G40" s="1260"/>
      <c r="H40" s="1285" t="s">
        <v>1324</v>
      </c>
      <c r="I40" s="1284"/>
      <c r="J40" s="1259"/>
      <c r="K40" s="1259"/>
      <c r="L40" s="1259"/>
      <c r="M40" s="1259"/>
      <c r="N40" s="1426"/>
      <c r="O40" s="1427"/>
      <c r="P40" s="1427"/>
      <c r="Q40" s="1427"/>
      <c r="R40" s="1427"/>
      <c r="S40" s="1427"/>
      <c r="T40" s="1427"/>
      <c r="U40" s="1427"/>
      <c r="V40" s="1427"/>
      <c r="W40" s="1427"/>
      <c r="X40" s="1427"/>
      <c r="Y40" s="1427"/>
      <c r="Z40" s="1427"/>
      <c r="AA40" s="1427"/>
      <c r="AB40" s="1427"/>
      <c r="AC40" s="1427"/>
      <c r="AD40" s="1427"/>
      <c r="AE40" s="1427"/>
      <c r="AF40" s="1427"/>
      <c r="AG40" s="1427"/>
      <c r="AH40" s="1427"/>
      <c r="AI40" s="1427"/>
      <c r="AJ40" s="1427"/>
      <c r="AK40" s="1427"/>
      <c r="AL40" s="1427"/>
      <c r="AM40" s="1427"/>
      <c r="AN40" s="1427"/>
      <c r="AO40" s="1427"/>
      <c r="AP40" s="1427"/>
      <c r="AQ40" s="1427"/>
      <c r="AR40" s="1427"/>
      <c r="AS40" s="1427"/>
      <c r="AT40" s="1427"/>
      <c r="AU40" s="1427"/>
      <c r="AV40" s="1427"/>
      <c r="AW40" s="1427"/>
      <c r="AX40" s="1427"/>
      <c r="AY40" s="1427"/>
      <c r="AZ40" s="1427"/>
      <c r="BA40" s="1427"/>
      <c r="BB40" s="1427"/>
      <c r="BC40" s="1427"/>
      <c r="BD40" s="1427"/>
      <c r="BE40" s="1427"/>
      <c r="BF40" s="1427"/>
      <c r="BG40" s="1427"/>
      <c r="BH40" s="1427"/>
      <c r="BI40" s="1427"/>
      <c r="BJ40" s="1427"/>
      <c r="BK40" s="1427"/>
      <c r="BL40" s="1427"/>
      <c r="BM40" s="1427"/>
      <c r="BN40" s="1427"/>
      <c r="BO40" s="1427"/>
      <c r="BP40" s="1427"/>
      <c r="BQ40" s="1427"/>
      <c r="BR40" s="1427"/>
      <c r="BS40" s="1427"/>
      <c r="BT40" s="1427"/>
      <c r="BU40" s="1427"/>
      <c r="BV40" s="1427"/>
      <c r="BW40" s="1427"/>
      <c r="BX40" s="1427"/>
      <c r="BY40" s="1427"/>
      <c r="BZ40" s="1427"/>
      <c r="CA40" s="1427"/>
      <c r="CB40" s="1427"/>
      <c r="CC40" s="1427"/>
      <c r="CD40" s="1427"/>
      <c r="CE40" s="1427"/>
      <c r="CF40" s="1427"/>
      <c r="CG40" s="1427"/>
      <c r="CH40" s="1427"/>
      <c r="CI40" s="1427"/>
      <c r="CJ40" s="1427"/>
      <c r="CK40" s="1427"/>
      <c r="CL40" s="1427"/>
      <c r="CM40" s="1427"/>
      <c r="CN40" s="1427"/>
      <c r="CO40" s="1427"/>
      <c r="CP40" s="1428"/>
    </row>
    <row r="41" spans="2:94" s="1278" customFormat="1" ht="30" customHeight="1" thickBot="1" x14ac:dyDescent="0.35">
      <c r="B41" s="1729"/>
      <c r="C41" s="1444" t="s">
        <v>1333</v>
      </c>
      <c r="D41" s="1446" t="s">
        <v>1334</v>
      </c>
      <c r="E41" s="1280" t="s">
        <v>1326</v>
      </c>
      <c r="F41" s="1279"/>
      <c r="G41" s="1279"/>
      <c r="H41" s="1279" t="s">
        <v>163</v>
      </c>
      <c r="I41" s="1283"/>
      <c r="J41" s="1282"/>
      <c r="K41" s="1282"/>
      <c r="L41" s="1282"/>
      <c r="M41" s="1282"/>
      <c r="N41" s="1434" t="str">
        <f>IF((N35+N36)*N38&lt;&gt;0,(N35+N36)*N38,"")</f>
        <v/>
      </c>
      <c r="O41" s="1435">
        <v>2.3155120526922309E-2</v>
      </c>
      <c r="P41" s="1435">
        <v>5.5602579373899286E-2</v>
      </c>
      <c r="Q41" s="1435">
        <v>0.10696972326634603</v>
      </c>
      <c r="R41" s="1435">
        <v>0.15403448311564136</v>
      </c>
      <c r="S41" s="1435">
        <v>0.19705495968354764</v>
      </c>
      <c r="T41" s="1435">
        <v>0.23627584317002609</v>
      </c>
      <c r="U41" s="1435">
        <v>0.319020818296957</v>
      </c>
      <c r="V41" s="1435">
        <v>0.44006583798093424</v>
      </c>
      <c r="W41" s="1435">
        <v>0.63854919830113122</v>
      </c>
      <c r="X41" s="1435">
        <v>0.81999493309959903</v>
      </c>
      <c r="Y41" s="1435">
        <v>0.86719480368963187</v>
      </c>
      <c r="Z41" s="1435">
        <v>0.82625503651799803</v>
      </c>
      <c r="AA41" s="1435">
        <v>0.78709246134343769</v>
      </c>
      <c r="AB41" s="1435">
        <v>0.74963369830140048</v>
      </c>
      <c r="AC41" s="1435">
        <v>0.71380829810773794</v>
      </c>
      <c r="AD41" s="1435">
        <v>0.67954862776878533</v>
      </c>
      <c r="AE41" s="1435">
        <v>0.64678976066993166</v>
      </c>
      <c r="AF41" s="1435">
        <v>0.61546937087724163</v>
      </c>
      <c r="AG41" s="1435">
        <v>0.58552763149287834</v>
      </c>
      <c r="AH41" s="1435">
        <v>0.55690711691102857</v>
      </c>
      <c r="AI41" s="1435">
        <v>0.52955270882676442</v>
      </c>
      <c r="AJ41" s="1435">
        <v>0.50341150585579486</v>
      </c>
      <c r="AK41" s="1435">
        <v>0.47843273662837493</v>
      </c>
      <c r="AL41" s="1435">
        <v>0.45456767622576139</v>
      </c>
      <c r="AM41" s="1435">
        <v>0.43176956583252935</v>
      </c>
      <c r="AN41" s="1435">
        <v>0.41135064127891735</v>
      </c>
      <c r="AO41" s="1435">
        <v>0.39247456310701734</v>
      </c>
      <c r="AP41" s="1435">
        <v>0.37567160040954506</v>
      </c>
      <c r="AQ41" s="1435">
        <v>0.35955625544655984</v>
      </c>
      <c r="AR41" s="1435">
        <v>0.34410123770900947</v>
      </c>
      <c r="AS41" s="1435">
        <v>0.33087876423346912</v>
      </c>
      <c r="AT41" s="1435">
        <v>0.32092149576528506</v>
      </c>
      <c r="AU41" s="1435">
        <v>0.31396927210525821</v>
      </c>
      <c r="AV41" s="1435">
        <v>0.31240358148155412</v>
      </c>
      <c r="AW41" s="1435">
        <v>0.31066274460056864</v>
      </c>
      <c r="AX41" s="1435">
        <v>0.29637776996958892</v>
      </c>
      <c r="AY41" s="1435">
        <v>0.28266138329416957</v>
      </c>
      <c r="AZ41" s="1435">
        <v>0.26949258140861571</v>
      </c>
      <c r="BA41" s="1435">
        <v>0.25685110227879987</v>
      </c>
      <c r="BB41" s="1435">
        <v>0.24471739964719774</v>
      </c>
      <c r="BC41" s="1435">
        <v>0.23530076065978026</v>
      </c>
      <c r="BD41" s="1435">
        <v>0.22730668348642874</v>
      </c>
      <c r="BE41" s="1435">
        <v>0.22167890419064978</v>
      </c>
      <c r="BF41" s="1435">
        <v>0.21618612418353267</v>
      </c>
      <c r="BG41" s="1435">
        <v>0.21082525367841221</v>
      </c>
      <c r="BH41" s="1435">
        <v>0.20559326835139644</v>
      </c>
      <c r="BI41" s="1435">
        <v>0.20515229304553279</v>
      </c>
      <c r="BJ41" s="1435">
        <v>0.20909180202247626</v>
      </c>
      <c r="BK41" s="1435">
        <v>0.22142236677676971</v>
      </c>
      <c r="BL41" s="1435">
        <v>0.23285726603607257</v>
      </c>
      <c r="BM41" s="1435">
        <v>0.22334960338272192</v>
      </c>
      <c r="BN41" s="1435">
        <v>0.21450684917052512</v>
      </c>
      <c r="BO41" s="1435">
        <v>0.20658896484773209</v>
      </c>
      <c r="BP41" s="1435">
        <v>0.1989503425542492</v>
      </c>
      <c r="BQ41" s="1435">
        <v>0.19158143162788319</v>
      </c>
      <c r="BR41" s="1435">
        <v>0.18447300084757301</v>
      </c>
      <c r="BS41" s="1435">
        <v>0.17894715609974096</v>
      </c>
      <c r="BT41" s="1435">
        <v>0.17487897043591702</v>
      </c>
      <c r="BU41" s="1435">
        <v>0.17340520251017624</v>
      </c>
      <c r="BV41" s="1435">
        <v>0.17186892896130271</v>
      </c>
      <c r="BW41" s="1435">
        <v>0.16436203468647578</v>
      </c>
      <c r="BX41" s="1435">
        <v>0.15714663256936323</v>
      </c>
      <c r="BY41" s="1435">
        <v>0.15021211085532327</v>
      </c>
      <c r="BZ41" s="1435">
        <v>0.14354822866679484</v>
      </c>
      <c r="CA41" s="1435">
        <v>0.1371451034011445</v>
      </c>
      <c r="CB41" s="1435">
        <v>0.13099319854799016</v>
      </c>
      <c r="CC41" s="1435">
        <v>0.12508331191225866</v>
      </c>
      <c r="CD41" s="1435">
        <v>0.11940656422967547</v>
      </c>
      <c r="CE41" s="1435">
        <v>0.11395438816181809</v>
      </c>
      <c r="CF41" s="1435">
        <v>0.10871851765828053</v>
      </c>
      <c r="CG41" s="1435">
        <v>0.1036909776738993</v>
      </c>
      <c r="CH41" s="1435">
        <v>9.886407422938262E-2</v>
      </c>
      <c r="CI41" s="1435">
        <v>9.4230384804061554E-2</v>
      </c>
      <c r="CJ41" s="1435">
        <v>8.9782749049848426E-2</v>
      </c>
      <c r="CK41" s="1435">
        <v>8.5514259815841473E-2</v>
      </c>
      <c r="CL41" s="1435">
        <v>8.2120524503394396E-2</v>
      </c>
      <c r="CM41" s="1435">
        <v>7.8990299269794201E-2</v>
      </c>
      <c r="CN41" s="1435">
        <v>7.625432177301833E-2</v>
      </c>
      <c r="CO41" s="1435">
        <v>7.3604816528155509E-2</v>
      </c>
      <c r="CP41" s="1436">
        <v>7.1039192965806491E-2</v>
      </c>
    </row>
    <row r="42" spans="2:94" s="1278" customFormat="1" ht="30" customHeight="1" thickBot="1" x14ac:dyDescent="0.35">
      <c r="B42" s="1730"/>
      <c r="C42" s="1442" t="s">
        <v>1333</v>
      </c>
      <c r="D42" s="1438" t="s">
        <v>1334</v>
      </c>
      <c r="E42" s="1280" t="s">
        <v>1327</v>
      </c>
      <c r="F42" s="1279"/>
      <c r="G42" s="1279"/>
      <c r="H42" s="1279" t="s">
        <v>163</v>
      </c>
      <c r="I42" s="1731">
        <f>IF(SUM($N41:$CP41)&lt;&gt;0,SUM($N41:$CP41),"")</f>
        <v>23.547401752771066</v>
      </c>
      <c r="J42" s="1732"/>
      <c r="K42" s="1732"/>
      <c r="L42" s="1732"/>
      <c r="M42" s="1733"/>
    </row>
    <row r="43" spans="2:94" ht="30" customHeight="1" x14ac:dyDescent="0.3">
      <c r="B43" s="1728" t="s">
        <v>1313</v>
      </c>
      <c r="C43" s="1446" t="s">
        <v>1335</v>
      </c>
      <c r="D43" s="1446" t="s">
        <v>1336</v>
      </c>
      <c r="E43" s="1269" t="s">
        <v>1316</v>
      </c>
      <c r="F43" s="1288"/>
      <c r="G43" s="1288"/>
      <c r="H43" s="1270" t="s">
        <v>163</v>
      </c>
      <c r="I43" s="1266"/>
      <c r="J43" s="1265"/>
      <c r="K43" s="1265"/>
      <c r="L43" s="1265"/>
      <c r="M43" s="1265"/>
      <c r="N43" s="1423"/>
      <c r="O43" s="1424">
        <v>4.4746932270092863</v>
      </c>
      <c r="P43" s="1424">
        <v>6.7120398405139285</v>
      </c>
      <c r="Q43" s="1424">
        <v>11.186733067523217</v>
      </c>
      <c r="R43" s="1424">
        <v>11.186733067523217</v>
      </c>
      <c r="S43" s="1424">
        <v>11.186733067523217</v>
      </c>
      <c r="T43" s="1424">
        <v>11.186733067523217</v>
      </c>
      <c r="U43" s="1424">
        <v>22.373466135046435</v>
      </c>
      <c r="V43" s="1424">
        <v>33.560199202569649</v>
      </c>
      <c r="W43" s="1424">
        <v>55.933665337616077</v>
      </c>
      <c r="X43" s="1424">
        <v>55.933665337616077</v>
      </c>
      <c r="Y43" s="1424">
        <v>0</v>
      </c>
      <c r="Z43" s="1424">
        <v>0</v>
      </c>
      <c r="AA43" s="1424">
        <v>0</v>
      </c>
      <c r="AB43" s="1424">
        <v>0</v>
      </c>
      <c r="AC43" s="1424">
        <v>0</v>
      </c>
      <c r="AD43" s="1424">
        <v>0</v>
      </c>
      <c r="AE43" s="1424">
        <v>0</v>
      </c>
      <c r="AF43" s="1424">
        <v>0</v>
      </c>
      <c r="AG43" s="1424">
        <v>0</v>
      </c>
      <c r="AH43" s="1424">
        <v>0</v>
      </c>
      <c r="AI43" s="1424">
        <v>0</v>
      </c>
      <c r="AJ43" s="1424">
        <v>0</v>
      </c>
      <c r="AK43" s="1424">
        <v>0</v>
      </c>
      <c r="AL43" s="1424">
        <v>0</v>
      </c>
      <c r="AM43" s="1424">
        <v>0</v>
      </c>
      <c r="AN43" s="1424">
        <v>5.6574008042271973E-2</v>
      </c>
      <c r="AO43" s="1424">
        <v>8.4861012063407959E-2</v>
      </c>
      <c r="AP43" s="1424">
        <v>0.1414350201056799</v>
      </c>
      <c r="AQ43" s="1424">
        <v>0.1414350201056799</v>
      </c>
      <c r="AR43" s="1424">
        <v>0.1414350201056799</v>
      </c>
      <c r="AS43" s="1424">
        <v>0.1414350201056799</v>
      </c>
      <c r="AT43" s="1424">
        <v>0.28287004021135981</v>
      </c>
      <c r="AU43" s="1424">
        <v>0.42430506031703968</v>
      </c>
      <c r="AV43" s="1424">
        <v>0.7071751005283996</v>
      </c>
      <c r="AW43" s="1424">
        <v>0.7071751005283996</v>
      </c>
      <c r="AX43" s="1424">
        <v>0</v>
      </c>
      <c r="AY43" s="1424">
        <v>0</v>
      </c>
      <c r="AZ43" s="1424">
        <v>0</v>
      </c>
      <c r="BA43" s="1424">
        <v>0</v>
      </c>
      <c r="BB43" s="1424">
        <v>0</v>
      </c>
      <c r="BC43" s="1424">
        <v>4.4133503258703577</v>
      </c>
      <c r="BD43" s="1424">
        <v>6.6200254888055357</v>
      </c>
      <c r="BE43" s="1424">
        <v>11.033375814675894</v>
      </c>
      <c r="BF43" s="1424">
        <v>11.033375814675894</v>
      </c>
      <c r="BG43" s="1424">
        <v>11.033375814675894</v>
      </c>
      <c r="BH43" s="1424">
        <v>11.033375814675894</v>
      </c>
      <c r="BI43" s="1424">
        <v>22.066751629351788</v>
      </c>
      <c r="BJ43" s="1424">
        <v>33.100127444027677</v>
      </c>
      <c r="BK43" s="1424">
        <v>55.166879073379476</v>
      </c>
      <c r="BL43" s="1424">
        <v>55.166879073379476</v>
      </c>
      <c r="BM43" s="1424">
        <v>5.6574008042271973E-2</v>
      </c>
      <c r="BN43" s="1424">
        <v>8.4861012063407959E-2</v>
      </c>
      <c r="BO43" s="1424">
        <v>0.1414350201056799</v>
      </c>
      <c r="BP43" s="1424">
        <v>0.1414350201056799</v>
      </c>
      <c r="BQ43" s="1424">
        <v>0.1414350201056799</v>
      </c>
      <c r="BR43" s="1424">
        <v>0.1414350201056799</v>
      </c>
      <c r="BS43" s="1424">
        <v>0.28287004021135981</v>
      </c>
      <c r="BT43" s="1424">
        <v>0.42430506031703968</v>
      </c>
      <c r="BU43" s="1424">
        <v>0.7071751005283996</v>
      </c>
      <c r="BV43" s="1424">
        <v>0.7071751005283996</v>
      </c>
      <c r="BW43" s="1424">
        <v>0</v>
      </c>
      <c r="BX43" s="1424">
        <v>0</v>
      </c>
      <c r="BY43" s="1424">
        <v>0</v>
      </c>
      <c r="BZ43" s="1424">
        <v>0</v>
      </c>
      <c r="CA43" s="1424">
        <v>0</v>
      </c>
      <c r="CB43" s="1424">
        <v>0</v>
      </c>
      <c r="CC43" s="1424">
        <v>0</v>
      </c>
      <c r="CD43" s="1424">
        <v>0</v>
      </c>
      <c r="CE43" s="1424">
        <v>0</v>
      </c>
      <c r="CF43" s="1424">
        <v>0</v>
      </c>
      <c r="CG43" s="1424">
        <v>0</v>
      </c>
      <c r="CH43" s="1424">
        <v>0</v>
      </c>
      <c r="CI43" s="1424">
        <v>0</v>
      </c>
      <c r="CJ43" s="1424">
        <v>0</v>
      </c>
      <c r="CK43" s="1424">
        <v>0</v>
      </c>
      <c r="CL43" s="1424">
        <v>5.6574008042271973E-2</v>
      </c>
      <c r="CM43" s="1424">
        <v>8.4861012063407959E-2</v>
      </c>
      <c r="CN43" s="1424">
        <v>0.1414350201056799</v>
      </c>
      <c r="CO43" s="1424">
        <v>0.1414350201056799</v>
      </c>
      <c r="CP43" s="1425">
        <v>0.1414350201056799</v>
      </c>
    </row>
    <row r="44" spans="2:94" ht="30" customHeight="1" x14ac:dyDescent="0.3">
      <c r="B44" s="1729"/>
      <c r="C44" s="1446" t="s">
        <v>1335</v>
      </c>
      <c r="D44" s="1446" t="s">
        <v>1336</v>
      </c>
      <c r="E44" s="1260" t="s">
        <v>1317</v>
      </c>
      <c r="F44" s="1287"/>
      <c r="G44" s="1287"/>
      <c r="H44" s="1264" t="s">
        <v>1318</v>
      </c>
      <c r="I44" s="1261"/>
      <c r="J44" s="1259"/>
      <c r="K44" s="1259"/>
      <c r="L44" s="1259"/>
      <c r="M44" s="1259"/>
      <c r="N44" s="1426"/>
      <c r="O44" s="1427">
        <v>0</v>
      </c>
      <c r="P44" s="1427">
        <v>0</v>
      </c>
      <c r="Q44" s="1427">
        <v>0</v>
      </c>
      <c r="R44" s="1427">
        <v>0</v>
      </c>
      <c r="S44" s="1427">
        <v>0</v>
      </c>
      <c r="T44" s="1427">
        <v>0</v>
      </c>
      <c r="U44" s="1427">
        <v>0</v>
      </c>
      <c r="V44" s="1427">
        <v>0</v>
      </c>
      <c r="W44" s="1427">
        <v>0</v>
      </c>
      <c r="X44" s="1427">
        <v>0</v>
      </c>
      <c r="Y44" s="1427">
        <v>0.1234268563928147</v>
      </c>
      <c r="Z44" s="1427">
        <v>0.1234268563928147</v>
      </c>
      <c r="AA44" s="1427">
        <v>0.1234268563928147</v>
      </c>
      <c r="AB44" s="1427">
        <v>0.1234268563928147</v>
      </c>
      <c r="AC44" s="1427">
        <v>0.1234268563928147</v>
      </c>
      <c r="AD44" s="1427">
        <v>0.1234268563928147</v>
      </c>
      <c r="AE44" s="1427">
        <v>0.1234268563928147</v>
      </c>
      <c r="AF44" s="1427">
        <v>0.1234268563928147</v>
      </c>
      <c r="AG44" s="1427">
        <v>0.1234268563928147</v>
      </c>
      <c r="AH44" s="1427">
        <v>0.1234268563928147</v>
      </c>
      <c r="AI44" s="1427">
        <v>0.1234268563928147</v>
      </c>
      <c r="AJ44" s="1427">
        <v>0.1234268563928147</v>
      </c>
      <c r="AK44" s="1427">
        <v>0.1234268563928147</v>
      </c>
      <c r="AL44" s="1427">
        <v>0.1234268563928147</v>
      </c>
      <c r="AM44" s="1427">
        <v>0.1234268563928147</v>
      </c>
      <c r="AN44" s="1427">
        <v>0.1234268563928147</v>
      </c>
      <c r="AO44" s="1427">
        <v>0.1234268563928147</v>
      </c>
      <c r="AP44" s="1427">
        <v>0.1234268563928147</v>
      </c>
      <c r="AQ44" s="1427">
        <v>0.1234268563928147</v>
      </c>
      <c r="AR44" s="1427">
        <v>0.1234268563928147</v>
      </c>
      <c r="AS44" s="1427">
        <v>0.1234268563928147</v>
      </c>
      <c r="AT44" s="1427">
        <v>0.1234268563928147</v>
      </c>
      <c r="AU44" s="1427">
        <v>0.1234268563928147</v>
      </c>
      <c r="AV44" s="1427">
        <v>0.1234268563928147</v>
      </c>
      <c r="AW44" s="1427">
        <v>0.1234268563928147</v>
      </c>
      <c r="AX44" s="1427">
        <v>0.1234268563928147</v>
      </c>
      <c r="AY44" s="1427">
        <v>0.1234268563928147</v>
      </c>
      <c r="AZ44" s="1427">
        <v>0.1234268563928147</v>
      </c>
      <c r="BA44" s="1427">
        <v>0.1234268563928147</v>
      </c>
      <c r="BB44" s="1427">
        <v>0.1234268563928147</v>
      </c>
      <c r="BC44" s="1427">
        <v>0.1234268563928147</v>
      </c>
      <c r="BD44" s="1427">
        <v>0.1234268563928147</v>
      </c>
      <c r="BE44" s="1427">
        <v>0.1234268563928147</v>
      </c>
      <c r="BF44" s="1427">
        <v>0.1234268563928147</v>
      </c>
      <c r="BG44" s="1427">
        <v>0.1234268563928147</v>
      </c>
      <c r="BH44" s="1427">
        <v>0.1234268563928147</v>
      </c>
      <c r="BI44" s="1427">
        <v>0.1234268563928147</v>
      </c>
      <c r="BJ44" s="1427">
        <v>0.1234268563928147</v>
      </c>
      <c r="BK44" s="1427">
        <v>0.1234268563928147</v>
      </c>
      <c r="BL44" s="1427">
        <v>0.1234268563928147</v>
      </c>
      <c r="BM44" s="1427">
        <v>0.1234268563928147</v>
      </c>
      <c r="BN44" s="1427">
        <v>0.1234268563928147</v>
      </c>
      <c r="BO44" s="1427">
        <v>0.1234268563928147</v>
      </c>
      <c r="BP44" s="1427">
        <v>0.1234268563928147</v>
      </c>
      <c r="BQ44" s="1427">
        <v>0.1234268563928147</v>
      </c>
      <c r="BR44" s="1427">
        <v>0.1234268563928147</v>
      </c>
      <c r="BS44" s="1427">
        <v>0.1234268563928147</v>
      </c>
      <c r="BT44" s="1427">
        <v>0.1234268563928147</v>
      </c>
      <c r="BU44" s="1427">
        <v>0.1234268563928147</v>
      </c>
      <c r="BV44" s="1427">
        <v>0.1234268563928147</v>
      </c>
      <c r="BW44" s="1427">
        <v>0.1234268563928147</v>
      </c>
      <c r="BX44" s="1427">
        <v>0.1234268563928147</v>
      </c>
      <c r="BY44" s="1427">
        <v>0.1234268563928147</v>
      </c>
      <c r="BZ44" s="1427">
        <v>0.1234268563928147</v>
      </c>
      <c r="CA44" s="1427">
        <v>0.1234268563928147</v>
      </c>
      <c r="CB44" s="1427">
        <v>0.1234268563928147</v>
      </c>
      <c r="CC44" s="1427">
        <v>0.1234268563928147</v>
      </c>
      <c r="CD44" s="1427">
        <v>0.1234268563928147</v>
      </c>
      <c r="CE44" s="1427">
        <v>0.1234268563928147</v>
      </c>
      <c r="CF44" s="1427">
        <v>0.1234268563928147</v>
      </c>
      <c r="CG44" s="1427">
        <v>0.1234268563928147</v>
      </c>
      <c r="CH44" s="1427">
        <v>0.1234268563928147</v>
      </c>
      <c r="CI44" s="1427">
        <v>0.1234268563928147</v>
      </c>
      <c r="CJ44" s="1427">
        <v>0.1234268563928147</v>
      </c>
      <c r="CK44" s="1427">
        <v>0.1234268563928147</v>
      </c>
      <c r="CL44" s="1427">
        <v>0.1234268563928147</v>
      </c>
      <c r="CM44" s="1427">
        <v>0.1234268563928147</v>
      </c>
      <c r="CN44" s="1427">
        <v>0.1234268563928147</v>
      </c>
      <c r="CO44" s="1427">
        <v>0.1234268563928147</v>
      </c>
      <c r="CP44" s="1428">
        <v>0.1234268563928147</v>
      </c>
    </row>
    <row r="45" spans="2:94" ht="30" customHeight="1" x14ac:dyDescent="0.3">
      <c r="B45" s="1729"/>
      <c r="C45" s="1446" t="s">
        <v>1335</v>
      </c>
      <c r="D45" s="1446" t="s">
        <v>1336</v>
      </c>
      <c r="E45" s="1260" t="s">
        <v>1319</v>
      </c>
      <c r="F45" s="1287"/>
      <c r="G45" s="1287"/>
      <c r="H45" s="1264" t="s">
        <v>1318</v>
      </c>
      <c r="I45" s="1261"/>
      <c r="J45" s="1259"/>
      <c r="K45" s="1259"/>
      <c r="L45" s="1259"/>
      <c r="M45" s="1259"/>
      <c r="N45" s="1426"/>
      <c r="O45" s="1427">
        <v>0.24167258944819975</v>
      </c>
      <c r="P45" s="1427">
        <v>0.60089190879524013</v>
      </c>
      <c r="Q45" s="1427">
        <v>1.196849470352592</v>
      </c>
      <c r="R45" s="1427">
        <v>1.7845831198467963</v>
      </c>
      <c r="S45" s="1427">
        <v>2.364092857277853</v>
      </c>
      <c r="T45" s="1427">
        <v>2.9353786826457617</v>
      </c>
      <c r="U45" s="1427">
        <v>4.1026220695710238</v>
      </c>
      <c r="V45" s="1427">
        <v>5.8575991059904888</v>
      </c>
      <c r="W45" s="1427">
        <v>8.7962673534615092</v>
      </c>
      <c r="X45" s="1427">
        <v>11.69381604061679</v>
      </c>
      <c r="Y45" s="1427">
        <v>11.529337799353842</v>
      </c>
      <c r="Z45" s="1427">
        <v>11.364859558090892</v>
      </c>
      <c r="AA45" s="1427">
        <v>11.200381316827942</v>
      </c>
      <c r="AB45" s="1427">
        <v>11.03590307556499</v>
      </c>
      <c r="AC45" s="1427">
        <v>10.871424834302038</v>
      </c>
      <c r="AD45" s="1427">
        <v>10.706946593039088</v>
      </c>
      <c r="AE45" s="1427">
        <v>10.54246835177614</v>
      </c>
      <c r="AF45" s="1427">
        <v>10.37799011051319</v>
      </c>
      <c r="AG45" s="1427">
        <v>10.213511869250238</v>
      </c>
      <c r="AH45" s="1427">
        <v>10.049033627987288</v>
      </c>
      <c r="AI45" s="1427">
        <v>9.8845553867243385</v>
      </c>
      <c r="AJ45" s="1427">
        <v>9.7200771454613886</v>
      </c>
      <c r="AK45" s="1427">
        <v>9.5555989041984351</v>
      </c>
      <c r="AL45" s="1427">
        <v>9.3911206629354851</v>
      </c>
      <c r="AM45" s="1427">
        <v>9.2266424216725351</v>
      </c>
      <c r="AN45" s="1427">
        <v>9.0638161414444181</v>
      </c>
      <c r="AO45" s="1427">
        <v>8.9018158417337183</v>
      </c>
      <c r="AP45" s="1427">
        <v>8.7414675030578532</v>
      </c>
      <c r="AQ45" s="1427">
        <v>8.58111916438199</v>
      </c>
      <c r="AR45" s="1427">
        <v>8.4207708257061249</v>
      </c>
      <c r="AS45" s="1427">
        <v>8.2604224870302563</v>
      </c>
      <c r="AT45" s="1427">
        <v>8.1042040509414779</v>
      </c>
      <c r="AU45" s="1427">
        <v>7.9521155174397844</v>
      </c>
      <c r="AV45" s="1427">
        <v>7.8082867891122634</v>
      </c>
      <c r="AW45" s="1427">
        <v>7.6644580607847423</v>
      </c>
      <c r="AX45" s="1427">
        <v>7.4999798195217906</v>
      </c>
      <c r="AY45" s="1427">
        <v>7.3355015782588406</v>
      </c>
      <c r="AZ45" s="1427">
        <v>7.1710233369958898</v>
      </c>
      <c r="BA45" s="1427">
        <v>7.0065450957329398</v>
      </c>
      <c r="BB45" s="1427">
        <v>6.8420668544699872</v>
      </c>
      <c r="BC45" s="1427">
        <v>6.8064584427224508</v>
      </c>
      <c r="BD45" s="1427">
        <v>6.8352849457326217</v>
      </c>
      <c r="BE45" s="1427">
        <v>6.9929812782582088</v>
      </c>
      <c r="BF45" s="1427">
        <v>7.1506776107837942</v>
      </c>
      <c r="BG45" s="1427">
        <v>7.3083739433093786</v>
      </c>
      <c r="BH45" s="1427">
        <v>7.4660702758349631</v>
      </c>
      <c r="BI45" s="1427">
        <v>7.9459411821490846</v>
      </c>
      <c r="BJ45" s="1427">
        <v>8.7479866622517424</v>
      </c>
      <c r="BK45" s="1427">
        <v>10.194381289931471</v>
      </c>
      <c r="BL45" s="1427">
        <v>11.640775917611203</v>
      </c>
      <c r="BM45" s="1427">
        <v>11.477949637383086</v>
      </c>
      <c r="BN45" s="1427">
        <v>11.315949337672388</v>
      </c>
      <c r="BO45" s="1427">
        <v>11.155600998996523</v>
      </c>
      <c r="BP45" s="1427">
        <v>10.995252660320659</v>
      </c>
      <c r="BQ45" s="1427">
        <v>10.834904321644794</v>
      </c>
      <c r="BR45" s="1427">
        <v>10.674555982968927</v>
      </c>
      <c r="BS45" s="1427">
        <v>10.518337546880149</v>
      </c>
      <c r="BT45" s="1427">
        <v>10.366249013378456</v>
      </c>
      <c r="BU45" s="1427">
        <v>10.222420285050935</v>
      </c>
      <c r="BV45" s="1427">
        <v>10.078591556723413</v>
      </c>
      <c r="BW45" s="1427">
        <v>9.9141133154604635</v>
      </c>
      <c r="BX45" s="1427">
        <v>9.7496350741975153</v>
      </c>
      <c r="BY45" s="1427">
        <v>9.5851568329345636</v>
      </c>
      <c r="BZ45" s="1427">
        <v>9.42067859167161</v>
      </c>
      <c r="CA45" s="1427">
        <v>9.2562003504086601</v>
      </c>
      <c r="CB45" s="1427">
        <v>9.0917221091457101</v>
      </c>
      <c r="CC45" s="1427">
        <v>8.9272438678827601</v>
      </c>
      <c r="CD45" s="1427">
        <v>8.7627656266198084</v>
      </c>
      <c r="CE45" s="1427">
        <v>8.5982873853568567</v>
      </c>
      <c r="CF45" s="1427">
        <v>8.4338091440939067</v>
      </c>
      <c r="CG45" s="1427">
        <v>8.2693309028309567</v>
      </c>
      <c r="CH45" s="1427">
        <v>8.104852661568005</v>
      </c>
      <c r="CI45" s="1427">
        <v>7.9403744203050541</v>
      </c>
      <c r="CJ45" s="1427">
        <v>7.7758961790421033</v>
      </c>
      <c r="CK45" s="1427">
        <v>7.6114179377791524</v>
      </c>
      <c r="CL45" s="1427">
        <v>7.4485916575510354</v>
      </c>
      <c r="CM45" s="1427">
        <v>7.2865913578403374</v>
      </c>
      <c r="CN45" s="1427">
        <v>7.1262430191644714</v>
      </c>
      <c r="CO45" s="1427">
        <v>6.9658946804886073</v>
      </c>
      <c r="CP45" s="1428">
        <v>6.8055463418127431</v>
      </c>
    </row>
    <row r="46" spans="2:94" ht="30" customHeight="1" x14ac:dyDescent="0.3">
      <c r="B46" s="1729"/>
      <c r="C46" s="1446" t="s">
        <v>1335</v>
      </c>
      <c r="D46" s="1446" t="s">
        <v>1336</v>
      </c>
      <c r="E46" s="1260" t="s">
        <v>1320</v>
      </c>
      <c r="F46" s="1287"/>
      <c r="G46" s="1287"/>
      <c r="H46" s="1264" t="s">
        <v>1318</v>
      </c>
      <c r="I46" s="1261"/>
      <c r="J46" s="1259"/>
      <c r="K46" s="1259"/>
      <c r="L46" s="1259"/>
      <c r="M46" s="1259"/>
      <c r="N46" s="1426"/>
      <c r="O46" s="1427"/>
      <c r="P46" s="1427">
        <v>3.5000000000000003E-2</v>
      </c>
      <c r="Q46" s="1427">
        <v>3.5000000000000003E-2</v>
      </c>
      <c r="R46" s="1427">
        <v>3.5000000000000003E-2</v>
      </c>
      <c r="S46" s="1427">
        <v>3.5000000000000003E-2</v>
      </c>
      <c r="T46" s="1427">
        <v>3.5000000000000003E-2</v>
      </c>
      <c r="U46" s="1427">
        <v>3.5000000000000003E-2</v>
      </c>
      <c r="V46" s="1427">
        <v>3.5000000000000003E-2</v>
      </c>
      <c r="W46" s="1427">
        <v>3.5000000000000003E-2</v>
      </c>
      <c r="X46" s="1427">
        <v>3.5000000000000003E-2</v>
      </c>
      <c r="Y46" s="1427">
        <v>3.5000000000000003E-2</v>
      </c>
      <c r="Z46" s="1427">
        <v>3.5000000000000003E-2</v>
      </c>
      <c r="AA46" s="1427">
        <v>3.5000000000000003E-2</v>
      </c>
      <c r="AB46" s="1427">
        <v>3.5000000000000003E-2</v>
      </c>
      <c r="AC46" s="1427">
        <v>3.5000000000000003E-2</v>
      </c>
      <c r="AD46" s="1427">
        <v>3.5000000000000003E-2</v>
      </c>
      <c r="AE46" s="1427">
        <v>3.5000000000000003E-2</v>
      </c>
      <c r="AF46" s="1427">
        <v>3.5000000000000003E-2</v>
      </c>
      <c r="AG46" s="1427">
        <v>3.5000000000000003E-2</v>
      </c>
      <c r="AH46" s="1427">
        <v>3.5000000000000003E-2</v>
      </c>
      <c r="AI46" s="1427">
        <v>3.5000000000000003E-2</v>
      </c>
      <c r="AJ46" s="1427">
        <v>3.5000000000000003E-2</v>
      </c>
      <c r="AK46" s="1427">
        <v>3.5000000000000003E-2</v>
      </c>
      <c r="AL46" s="1427">
        <v>3.5000000000000003E-2</v>
      </c>
      <c r="AM46" s="1427">
        <v>3.5000000000000003E-2</v>
      </c>
      <c r="AN46" s="1427">
        <v>3.5000000000000003E-2</v>
      </c>
      <c r="AO46" s="1427">
        <v>3.5000000000000003E-2</v>
      </c>
      <c r="AP46" s="1427">
        <v>3.5000000000000003E-2</v>
      </c>
      <c r="AQ46" s="1427">
        <v>3.5000000000000003E-2</v>
      </c>
      <c r="AR46" s="1427">
        <v>3.5000000000000003E-2</v>
      </c>
      <c r="AS46" s="1427">
        <v>0.03</v>
      </c>
      <c r="AT46" s="1427">
        <v>0.03</v>
      </c>
      <c r="AU46" s="1427">
        <v>0.03</v>
      </c>
      <c r="AV46" s="1427">
        <v>0.03</v>
      </c>
      <c r="AW46" s="1427">
        <v>0.03</v>
      </c>
      <c r="AX46" s="1427">
        <v>0.03</v>
      </c>
      <c r="AY46" s="1427">
        <v>0.03</v>
      </c>
      <c r="AZ46" s="1427">
        <v>0.03</v>
      </c>
      <c r="BA46" s="1427">
        <v>0.03</v>
      </c>
      <c r="BB46" s="1427">
        <v>0.03</v>
      </c>
      <c r="BC46" s="1427">
        <v>0.03</v>
      </c>
      <c r="BD46" s="1427">
        <v>0.03</v>
      </c>
      <c r="BE46" s="1427">
        <v>0.03</v>
      </c>
      <c r="BF46" s="1427">
        <v>0.03</v>
      </c>
      <c r="BG46" s="1427">
        <v>0.03</v>
      </c>
      <c r="BH46" s="1427">
        <v>0.03</v>
      </c>
      <c r="BI46" s="1427">
        <v>0.03</v>
      </c>
      <c r="BJ46" s="1427">
        <v>0.03</v>
      </c>
      <c r="BK46" s="1427">
        <v>0.03</v>
      </c>
      <c r="BL46" s="1427">
        <v>0.03</v>
      </c>
      <c r="BM46" s="1427">
        <v>0.03</v>
      </c>
      <c r="BN46" s="1427">
        <v>0.03</v>
      </c>
      <c r="BO46" s="1427">
        <v>0.03</v>
      </c>
      <c r="BP46" s="1427">
        <v>0.03</v>
      </c>
      <c r="BQ46" s="1427">
        <v>0.03</v>
      </c>
      <c r="BR46" s="1427">
        <v>0.03</v>
      </c>
      <c r="BS46" s="1427">
        <v>0.03</v>
      </c>
      <c r="BT46" s="1427">
        <v>0.03</v>
      </c>
      <c r="BU46" s="1427">
        <v>0.03</v>
      </c>
      <c r="BV46" s="1427">
        <v>0.03</v>
      </c>
      <c r="BW46" s="1427">
        <v>0.03</v>
      </c>
      <c r="BX46" s="1427">
        <v>0.03</v>
      </c>
      <c r="BY46" s="1427">
        <v>0.03</v>
      </c>
      <c r="BZ46" s="1427">
        <v>0.03</v>
      </c>
      <c r="CA46" s="1427">
        <v>0.03</v>
      </c>
      <c r="CB46" s="1427">
        <v>0.03</v>
      </c>
      <c r="CC46" s="1427">
        <v>0.03</v>
      </c>
      <c r="CD46" s="1427">
        <v>0.03</v>
      </c>
      <c r="CE46" s="1427">
        <v>0.03</v>
      </c>
      <c r="CF46" s="1427">
        <v>0.03</v>
      </c>
      <c r="CG46" s="1427">
        <v>0.03</v>
      </c>
      <c r="CH46" s="1427">
        <v>0.03</v>
      </c>
      <c r="CI46" s="1427">
        <v>0.03</v>
      </c>
      <c r="CJ46" s="1427">
        <v>0.03</v>
      </c>
      <c r="CK46" s="1427">
        <v>0.03</v>
      </c>
      <c r="CL46" s="1427">
        <v>2.5000000000000001E-2</v>
      </c>
      <c r="CM46" s="1427">
        <v>2.5000000000000001E-2</v>
      </c>
      <c r="CN46" s="1427">
        <v>2.5000000000000001E-2</v>
      </c>
      <c r="CO46" s="1427">
        <v>2.5000000000000001E-2</v>
      </c>
      <c r="CP46" s="1428">
        <v>2.5000000000000001E-2</v>
      </c>
    </row>
    <row r="47" spans="2:94" ht="30" customHeight="1" x14ac:dyDescent="0.3">
      <c r="B47" s="1729"/>
      <c r="C47" s="1446" t="s">
        <v>1335</v>
      </c>
      <c r="D47" s="1446" t="s">
        <v>1336</v>
      </c>
      <c r="E47" s="1260" t="s">
        <v>1321</v>
      </c>
      <c r="F47" s="1287"/>
      <c r="G47" s="1287"/>
      <c r="H47" s="1264" t="s">
        <v>1318</v>
      </c>
      <c r="I47" s="1261"/>
      <c r="J47" s="1259"/>
      <c r="K47" s="1259"/>
      <c r="L47" s="1259"/>
      <c r="M47" s="1259"/>
      <c r="N47" s="1426"/>
      <c r="O47" s="1427">
        <v>1</v>
      </c>
      <c r="P47" s="1427">
        <v>0.96618357487922713</v>
      </c>
      <c r="Q47" s="1427">
        <v>0.93351070036640305</v>
      </c>
      <c r="R47" s="1427">
        <v>0.90194270566802237</v>
      </c>
      <c r="S47" s="1427">
        <v>0.87144222769857238</v>
      </c>
      <c r="T47" s="1427">
        <v>0.84197316685852408</v>
      </c>
      <c r="U47" s="1427">
        <v>0.81350064430775282</v>
      </c>
      <c r="V47" s="1427">
        <v>0.78599096068381924</v>
      </c>
      <c r="W47" s="1427">
        <v>0.75941155621625056</v>
      </c>
      <c r="X47" s="1427">
        <v>0.73373097218961414</v>
      </c>
      <c r="Y47" s="1427">
        <v>0.70891881370977217</v>
      </c>
      <c r="Z47" s="1427">
        <v>0.68494571372924851</v>
      </c>
      <c r="AA47" s="1427">
        <v>0.66178329828912907</v>
      </c>
      <c r="AB47" s="1427">
        <v>0.63940415293635666</v>
      </c>
      <c r="AC47" s="1427">
        <v>0.61778179027667313</v>
      </c>
      <c r="AD47" s="1427">
        <v>0.59689061862480497</v>
      </c>
      <c r="AE47" s="1427">
        <v>0.57670591171478747</v>
      </c>
      <c r="AF47" s="1427">
        <v>0.55720377943457733</v>
      </c>
      <c r="AG47" s="1427">
        <v>0.53836113955031628</v>
      </c>
      <c r="AH47" s="1427">
        <v>0.520155690386779</v>
      </c>
      <c r="AI47" s="1427">
        <v>0.50256588443167061</v>
      </c>
      <c r="AJ47" s="1427">
        <v>0.48557090283253201</v>
      </c>
      <c r="AK47" s="1427">
        <v>0.46915063075606961</v>
      </c>
      <c r="AL47" s="1427">
        <v>0.45328563358074364</v>
      </c>
      <c r="AM47" s="1427">
        <v>0.43795713389443836</v>
      </c>
      <c r="AN47" s="1427">
        <v>0.42314698926998878</v>
      </c>
      <c r="AO47" s="1427">
        <v>0.40883767079225974</v>
      </c>
      <c r="AP47" s="1427">
        <v>0.39501224231136212</v>
      </c>
      <c r="AQ47" s="1427">
        <v>0.38165434039745133</v>
      </c>
      <c r="AR47" s="1427">
        <v>0.36874815497338298</v>
      </c>
      <c r="AS47" s="1427">
        <v>0.35800791744988636</v>
      </c>
      <c r="AT47" s="1427">
        <v>0.34758050237853044</v>
      </c>
      <c r="AU47" s="1427">
        <v>0.33745679842575771</v>
      </c>
      <c r="AV47" s="1427">
        <v>0.32762795963665797</v>
      </c>
      <c r="AW47" s="1427">
        <v>0.31808539770549316</v>
      </c>
      <c r="AX47" s="1427">
        <v>0.30882077447135259</v>
      </c>
      <c r="AY47" s="1427">
        <v>0.29982599463238113</v>
      </c>
      <c r="AZ47" s="1427">
        <v>0.29109319867221467</v>
      </c>
      <c r="BA47" s="1427">
        <v>0.2826147559924414</v>
      </c>
      <c r="BB47" s="1427">
        <v>0.27438325824508875</v>
      </c>
      <c r="BC47" s="1427">
        <v>0.26639151285930945</v>
      </c>
      <c r="BD47" s="1427">
        <v>0.25863253675661113</v>
      </c>
      <c r="BE47" s="1427">
        <v>0.25109955024913699</v>
      </c>
      <c r="BF47" s="1427">
        <v>0.24378597111566697</v>
      </c>
      <c r="BG47" s="1427">
        <v>0.23668540885016209</v>
      </c>
      <c r="BH47" s="1427">
        <v>0.22979165907782728</v>
      </c>
      <c r="BI47" s="1427">
        <v>0.22309869813381289</v>
      </c>
      <c r="BJ47" s="1427">
        <v>0.21660067779981834</v>
      </c>
      <c r="BK47" s="1427">
        <v>0.21029192019399839</v>
      </c>
      <c r="BL47" s="1427">
        <v>0.20416691280970717</v>
      </c>
      <c r="BM47" s="1427">
        <v>0.19822030369874483</v>
      </c>
      <c r="BN47" s="1427">
        <v>0.19244689679489788</v>
      </c>
      <c r="BO47" s="1427">
        <v>0.18684164737368725</v>
      </c>
      <c r="BP47" s="1427">
        <v>0.18139965764435656</v>
      </c>
      <c r="BQ47" s="1427">
        <v>0.17611617247024908</v>
      </c>
      <c r="BR47" s="1427">
        <v>0.17098657521383406</v>
      </c>
      <c r="BS47" s="1427">
        <v>0.1660063837027515</v>
      </c>
      <c r="BT47" s="1427">
        <v>0.16117124631335097</v>
      </c>
      <c r="BU47" s="1427">
        <v>0.15647693816830191</v>
      </c>
      <c r="BV47" s="1427">
        <v>0.1519193574449533</v>
      </c>
      <c r="BW47" s="1427">
        <v>0.1474945217912168</v>
      </c>
      <c r="BX47" s="1427">
        <v>0.14319856484584156</v>
      </c>
      <c r="BY47" s="1427">
        <v>0.13902773286004036</v>
      </c>
      <c r="BZ47" s="1427">
        <v>0.13497838141751492</v>
      </c>
      <c r="CA47" s="1427">
        <v>0.13104697225001449</v>
      </c>
      <c r="CB47" s="1427">
        <v>0.12723007014564514</v>
      </c>
      <c r="CC47" s="1427">
        <v>0.12352433994722828</v>
      </c>
      <c r="CD47" s="1427">
        <v>0.11992654363808571</v>
      </c>
      <c r="CE47" s="1427">
        <v>0.11643353751270456</v>
      </c>
      <c r="CF47" s="1427">
        <v>0.11304226942981026</v>
      </c>
      <c r="CG47" s="1427">
        <v>0.10974977614544684</v>
      </c>
      <c r="CH47" s="1427">
        <v>0.10655318072373479</v>
      </c>
      <c r="CI47" s="1427">
        <v>0.10344969002304348</v>
      </c>
      <c r="CJ47" s="1427">
        <v>0.10043659225538201</v>
      </c>
      <c r="CK47" s="1427">
        <v>9.7511254616875737E-2</v>
      </c>
      <c r="CL47" s="1427">
        <v>9.5132931333537313E-2</v>
      </c>
      <c r="CM47" s="1427">
        <v>9.2812615935158368E-2</v>
      </c>
      <c r="CN47" s="1427">
        <v>9.0548893595276458E-2</v>
      </c>
      <c r="CO47" s="1427">
        <v>8.834038399539168E-2</v>
      </c>
      <c r="CP47" s="1428">
        <v>8.6185740483308959E-2</v>
      </c>
    </row>
    <row r="48" spans="2:94" ht="30" customHeight="1" x14ac:dyDescent="0.3">
      <c r="B48" s="1729"/>
      <c r="C48" s="1446" t="s">
        <v>1335</v>
      </c>
      <c r="D48" s="1446" t="s">
        <v>1336</v>
      </c>
      <c r="E48" s="1260" t="s">
        <v>1322</v>
      </c>
      <c r="F48" s="1260" t="s">
        <v>1330</v>
      </c>
      <c r="G48" s="1260"/>
      <c r="H48" s="1260" t="s">
        <v>1324</v>
      </c>
      <c r="I48" s="1261"/>
      <c r="J48" s="1259"/>
      <c r="K48" s="1259"/>
      <c r="L48" s="1259"/>
      <c r="M48" s="1259"/>
      <c r="N48" s="1426"/>
      <c r="O48" s="1427"/>
      <c r="P48" s="1427"/>
      <c r="Q48" s="1427"/>
      <c r="R48" s="1427"/>
      <c r="S48" s="1427"/>
      <c r="T48" s="1427"/>
      <c r="U48" s="1427"/>
      <c r="V48" s="1427"/>
      <c r="W48" s="1427"/>
      <c r="X48" s="1427"/>
      <c r="Y48" s="1427"/>
      <c r="Z48" s="1427"/>
      <c r="AA48" s="1427"/>
      <c r="AB48" s="1427"/>
      <c r="AC48" s="1427"/>
      <c r="AD48" s="1427"/>
      <c r="AE48" s="1427"/>
      <c r="AF48" s="1427"/>
      <c r="AG48" s="1427"/>
      <c r="AH48" s="1427"/>
      <c r="AI48" s="1427"/>
      <c r="AJ48" s="1427"/>
      <c r="AK48" s="1427"/>
      <c r="AL48" s="1427"/>
      <c r="AM48" s="1427"/>
      <c r="AN48" s="1427"/>
      <c r="AO48" s="1427"/>
      <c r="AP48" s="1427"/>
      <c r="AQ48" s="1427"/>
      <c r="AR48" s="1427"/>
      <c r="AS48" s="1427"/>
      <c r="AT48" s="1427"/>
      <c r="AU48" s="1427"/>
      <c r="AV48" s="1427"/>
      <c r="AW48" s="1427"/>
      <c r="AX48" s="1427"/>
      <c r="AY48" s="1427"/>
      <c r="AZ48" s="1427"/>
      <c r="BA48" s="1427"/>
      <c r="BB48" s="1427"/>
      <c r="BC48" s="1427"/>
      <c r="BD48" s="1427"/>
      <c r="BE48" s="1427"/>
      <c r="BF48" s="1427"/>
      <c r="BG48" s="1427"/>
      <c r="BH48" s="1427"/>
      <c r="BI48" s="1427"/>
      <c r="BJ48" s="1427"/>
      <c r="BK48" s="1427"/>
      <c r="BL48" s="1427"/>
      <c r="BM48" s="1427"/>
      <c r="BN48" s="1427"/>
      <c r="BO48" s="1427"/>
      <c r="BP48" s="1427"/>
      <c r="BQ48" s="1427"/>
      <c r="BR48" s="1427"/>
      <c r="BS48" s="1427"/>
      <c r="BT48" s="1427"/>
      <c r="BU48" s="1427"/>
      <c r="BV48" s="1427"/>
      <c r="BW48" s="1427"/>
      <c r="BX48" s="1427"/>
      <c r="BY48" s="1427"/>
      <c r="BZ48" s="1427"/>
      <c r="CA48" s="1427"/>
      <c r="CB48" s="1427"/>
      <c r="CC48" s="1427"/>
      <c r="CD48" s="1427"/>
      <c r="CE48" s="1427"/>
      <c r="CF48" s="1427"/>
      <c r="CG48" s="1427"/>
      <c r="CH48" s="1427"/>
      <c r="CI48" s="1427"/>
      <c r="CJ48" s="1427"/>
      <c r="CK48" s="1427"/>
      <c r="CL48" s="1427"/>
      <c r="CM48" s="1427"/>
      <c r="CN48" s="1427"/>
      <c r="CO48" s="1427"/>
      <c r="CP48" s="1428"/>
    </row>
    <row r="49" spans="2:94" ht="30" customHeight="1" x14ac:dyDescent="0.3">
      <c r="B49" s="1729"/>
      <c r="C49" s="1446" t="s">
        <v>1335</v>
      </c>
      <c r="D49" s="1446" t="s">
        <v>1336</v>
      </c>
      <c r="E49" s="1264" t="s">
        <v>1322</v>
      </c>
      <c r="F49" s="1260" t="s">
        <v>1325</v>
      </c>
      <c r="G49" s="1260"/>
      <c r="H49" s="1285" t="s">
        <v>1324</v>
      </c>
      <c r="I49" s="1284"/>
      <c r="J49" s="1259"/>
      <c r="K49" s="1259"/>
      <c r="L49" s="1259"/>
      <c r="M49" s="1259"/>
      <c r="N49" s="1426"/>
      <c r="O49" s="1427"/>
      <c r="P49" s="1427"/>
      <c r="Q49" s="1427"/>
      <c r="R49" s="1427"/>
      <c r="S49" s="1427"/>
      <c r="T49" s="1427"/>
      <c r="U49" s="1427"/>
      <c r="V49" s="1427"/>
      <c r="W49" s="1427"/>
      <c r="X49" s="1427"/>
      <c r="Y49" s="1427"/>
      <c r="Z49" s="1427"/>
      <c r="AA49" s="1427"/>
      <c r="AB49" s="1427"/>
      <c r="AC49" s="1427"/>
      <c r="AD49" s="1427"/>
      <c r="AE49" s="1427"/>
      <c r="AF49" s="1427"/>
      <c r="AG49" s="1427"/>
      <c r="AH49" s="1427"/>
      <c r="AI49" s="1427"/>
      <c r="AJ49" s="1427"/>
      <c r="AK49" s="1427"/>
      <c r="AL49" s="1427"/>
      <c r="AM49" s="1427"/>
      <c r="AN49" s="1427"/>
      <c r="AO49" s="1427"/>
      <c r="AP49" s="1427"/>
      <c r="AQ49" s="1427"/>
      <c r="AR49" s="1427"/>
      <c r="AS49" s="1427"/>
      <c r="AT49" s="1427"/>
      <c r="AU49" s="1427"/>
      <c r="AV49" s="1427"/>
      <c r="AW49" s="1427"/>
      <c r="AX49" s="1427"/>
      <c r="AY49" s="1427"/>
      <c r="AZ49" s="1427"/>
      <c r="BA49" s="1427"/>
      <c r="BB49" s="1427"/>
      <c r="BC49" s="1427"/>
      <c r="BD49" s="1427"/>
      <c r="BE49" s="1427"/>
      <c r="BF49" s="1427"/>
      <c r="BG49" s="1427"/>
      <c r="BH49" s="1427"/>
      <c r="BI49" s="1427"/>
      <c r="BJ49" s="1427"/>
      <c r="BK49" s="1427"/>
      <c r="BL49" s="1427"/>
      <c r="BM49" s="1427"/>
      <c r="BN49" s="1427"/>
      <c r="BO49" s="1427"/>
      <c r="BP49" s="1427"/>
      <c r="BQ49" s="1427"/>
      <c r="BR49" s="1427"/>
      <c r="BS49" s="1427"/>
      <c r="BT49" s="1427"/>
      <c r="BU49" s="1427"/>
      <c r="BV49" s="1427"/>
      <c r="BW49" s="1427"/>
      <c r="BX49" s="1427"/>
      <c r="BY49" s="1427"/>
      <c r="BZ49" s="1427"/>
      <c r="CA49" s="1427"/>
      <c r="CB49" s="1427"/>
      <c r="CC49" s="1427"/>
      <c r="CD49" s="1427"/>
      <c r="CE49" s="1427"/>
      <c r="CF49" s="1427"/>
      <c r="CG49" s="1427"/>
      <c r="CH49" s="1427"/>
      <c r="CI49" s="1427"/>
      <c r="CJ49" s="1427"/>
      <c r="CK49" s="1427"/>
      <c r="CL49" s="1427"/>
      <c r="CM49" s="1427"/>
      <c r="CN49" s="1427"/>
      <c r="CO49" s="1427"/>
      <c r="CP49" s="1428"/>
    </row>
    <row r="50" spans="2:94" s="1278" customFormat="1" ht="30" customHeight="1" thickBot="1" x14ac:dyDescent="0.35">
      <c r="B50" s="1729"/>
      <c r="C50" s="1446" t="s">
        <v>1335</v>
      </c>
      <c r="D50" s="1446" t="s">
        <v>1336</v>
      </c>
      <c r="E50" s="1280" t="s">
        <v>1326</v>
      </c>
      <c r="F50" s="1279"/>
      <c r="G50" s="1279"/>
      <c r="H50" s="1279" t="s">
        <v>163</v>
      </c>
      <c r="I50" s="1283"/>
      <c r="J50" s="1282"/>
      <c r="K50" s="1282"/>
      <c r="L50" s="1282"/>
      <c r="M50" s="1282"/>
      <c r="N50" s="1434" t="str">
        <f>IF((N44+N45)*N47&lt;&gt;0,(N44+N45)*N47,"")</f>
        <v/>
      </c>
      <c r="O50" s="1435">
        <v>0.24167258991142673</v>
      </c>
      <c r="P50" s="1435">
        <v>0.5805718936655041</v>
      </c>
      <c r="Q50" s="1435">
        <v>1.1172717894330684</v>
      </c>
      <c r="R50" s="1435">
        <v>1.6095917306647149</v>
      </c>
      <c r="S50" s="1435">
        <v>2.0601703499366373</v>
      </c>
      <c r="T50" s="1435">
        <v>2.471510090023354</v>
      </c>
      <c r="U50" s="1435">
        <v>3.3374857032439693</v>
      </c>
      <c r="V50" s="1435">
        <v>4.6040199573018157</v>
      </c>
      <c r="W50" s="1435">
        <v>6.6799870923931035</v>
      </c>
      <c r="X50" s="1435">
        <v>8.5801150282555039</v>
      </c>
      <c r="Y50" s="1435">
        <v>8.2608641114744756</v>
      </c>
      <c r="Z50" s="1435">
        <v>7.868852552135408</v>
      </c>
      <c r="AA50" s="1435">
        <v>7.4939071357052152</v>
      </c>
      <c r="AB50" s="1435">
        <v>7.1353219153533463</v>
      </c>
      <c r="AC50" s="1435">
        <v>6.7924191734474162</v>
      </c>
      <c r="AD50" s="1435">
        <v>6.4645483196180136</v>
      </c>
      <c r="AE50" s="1435">
        <v>6.1510848310689834</v>
      </c>
      <c r="AF50" s="1435">
        <v>5.8514292335361695</v>
      </c>
      <c r="AG50" s="1435">
        <v>5.5650061213572197</v>
      </c>
      <c r="AH50" s="1435">
        <v>5.291263215172604</v>
      </c>
      <c r="AI50" s="1435">
        <v>5.0296704558333429</v>
      </c>
      <c r="AJ50" s="1435">
        <v>4.7797191331442193</v>
      </c>
      <c r="AK50" s="1435">
        <v>4.5409210481226534</v>
      </c>
      <c r="AL50" s="1435">
        <v>4.3128077075027882</v>
      </c>
      <c r="AM50" s="1435">
        <v>4.094929549261936</v>
      </c>
      <c r="AN50" s="1435">
        <v>3.887554220399676</v>
      </c>
      <c r="AO50" s="1435">
        <v>3.6898592089067672</v>
      </c>
      <c r="AP50" s="1435">
        <v>3.501741804424467</v>
      </c>
      <c r="AQ50" s="1435">
        <v>3.3221277754457534</v>
      </c>
      <c r="AR50" s="1435">
        <v>3.1506571362209077</v>
      </c>
      <c r="AS50" s="1435">
        <v>3.0014844486952081</v>
      </c>
      <c r="AT50" s="1435">
        <v>2.8597640891702483</v>
      </c>
      <c r="AU50" s="1435">
        <v>2.7251466801450537</v>
      </c>
      <c r="AV50" s="1435">
        <v>2.598651163581744</v>
      </c>
      <c r="AW50" s="1435">
        <v>2.4772124769849548</v>
      </c>
      <c r="AX50" s="1435">
        <v>2.3542663592695754</v>
      </c>
      <c r="AY50" s="1435">
        <v>2.2363806420118486</v>
      </c>
      <c r="AZ50" s="1435">
        <v>2.1233648442594331</v>
      </c>
      <c r="BA50" s="1435">
        <v>2.0150352881163012</v>
      </c>
      <c r="BB50" s="1435">
        <v>1.9112148640401052</v>
      </c>
      <c r="BC50" s="1435">
        <v>1.8460626329560492</v>
      </c>
      <c r="BD50" s="1435">
        <v>1.7997492899811345</v>
      </c>
      <c r="BE50" s="1435">
        <v>1.7869268859655703</v>
      </c>
      <c r="BF50" s="1435">
        <v>1.7733246254198709</v>
      </c>
      <c r="BG50" s="1435">
        <v>1.7589988145907847</v>
      </c>
      <c r="BH50" s="1435">
        <v>1.74400314133014</v>
      </c>
      <c r="BI50" s="1435">
        <v>1.8002655079851038</v>
      </c>
      <c r="BJ50" s="1435">
        <v>1.9215541852126312</v>
      </c>
      <c r="BK50" s="1435">
        <v>2.1697516917814923</v>
      </c>
      <c r="BL50" s="1435">
        <v>2.4018609669688407</v>
      </c>
      <c r="BM50" s="1435">
        <v>2.2996283766471555</v>
      </c>
      <c r="BN50" s="1435">
        <v>2.2014724543625444</v>
      </c>
      <c r="BO50" s="1435">
        <v>2.1073921496748276</v>
      </c>
      <c r="BP50" s="1435">
        <v>2.0169246620488268</v>
      </c>
      <c r="BQ50" s="1435">
        <v>1.9299393478610194</v>
      </c>
      <c r="BR50" s="1435">
        <v>1.8463101089121254</v>
      </c>
      <c r="BS50" s="1435">
        <v>1.7666008287360253</v>
      </c>
      <c r="BT50" s="1435">
        <v>1.6906341372920228</v>
      </c>
      <c r="BU50" s="1435">
        <v>1.6188864875180615</v>
      </c>
      <c r="BV50" s="1435">
        <v>1.5498840861487264</v>
      </c>
      <c r="BW50" s="1435">
        <v>1.4804821916020752</v>
      </c>
      <c r="BX50" s="1435">
        <v>1.4138083029046549</v>
      </c>
      <c r="BY50" s="1435">
        <v>1.3497623832420715</v>
      </c>
      <c r="BZ50" s="1435">
        <v>1.2882479089207397</v>
      </c>
      <c r="CA50" s="1435">
        <v>1.2291717495849297</v>
      </c>
      <c r="CB50" s="1435">
        <v>1.1724440524311583</v>
      </c>
      <c r="CC50" s="1435">
        <v>1.1179781302886755</v>
      </c>
      <c r="CD50" s="1435">
        <v>1.065690353439074</v>
      </c>
      <c r="CE50" s="1435">
        <v>1.0155000450521416</v>
      </c>
      <c r="CF50" s="1435">
        <v>0.96732938011908531</v>
      </c>
      <c r="CG50" s="1435">
        <v>0.9211032877680968</v>
      </c>
      <c r="CH50" s="1435">
        <v>0.87674935685097</v>
      </c>
      <c r="CI50" s="1435">
        <v>0.83419774469309216</v>
      </c>
      <c r="CJ50" s="1435">
        <v>0.79338108890262993</v>
      </c>
      <c r="CK50" s="1435">
        <v>0.7542344221381142</v>
      </c>
      <c r="CL50" s="1435">
        <v>0.72034831925658205</v>
      </c>
      <c r="CM50" s="1435">
        <v>0.68774317643533145</v>
      </c>
      <c r="CN50" s="1435">
        <v>0.6564495879567388</v>
      </c>
      <c r="CO50" s="1435">
        <v>0.62627338857916315</v>
      </c>
      <c r="CP50" s="1436">
        <v>0.59717868757220283</v>
      </c>
    </row>
    <row r="51" spans="2:94" s="1278" customFormat="1" ht="30" customHeight="1" thickBot="1" x14ac:dyDescent="0.35">
      <c r="B51" s="1730"/>
      <c r="C51" s="1442" t="s">
        <v>1335</v>
      </c>
      <c r="D51" s="1438" t="s">
        <v>1336</v>
      </c>
      <c r="E51" s="1280" t="s">
        <v>1327</v>
      </c>
      <c r="F51" s="1279"/>
      <c r="G51" s="1279"/>
      <c r="H51" s="1279" t="s">
        <v>163</v>
      </c>
      <c r="I51" s="1731">
        <f>IF(SUM($N50:$CP50)&lt;&gt;0,SUM($N50:$CP50),"")</f>
        <v>220.36784566836545</v>
      </c>
      <c r="J51" s="1732"/>
      <c r="K51" s="1732"/>
      <c r="L51" s="1732"/>
      <c r="M51" s="1733"/>
    </row>
    <row r="52" spans="2:94" ht="30" customHeight="1" x14ac:dyDescent="0.3">
      <c r="B52" s="1728" t="s">
        <v>1313</v>
      </c>
      <c r="C52" s="1446" t="s">
        <v>1337</v>
      </c>
      <c r="D52" s="1446" t="s">
        <v>1338</v>
      </c>
      <c r="E52" s="1269" t="s">
        <v>1316</v>
      </c>
      <c r="F52" s="1288"/>
      <c r="G52" s="1288"/>
      <c r="H52" s="1270" t="s">
        <v>163</v>
      </c>
      <c r="I52" s="1266"/>
      <c r="J52" s="1265"/>
      <c r="K52" s="1265"/>
      <c r="L52" s="1265"/>
      <c r="M52" s="1265"/>
      <c r="N52" s="1423"/>
      <c r="O52" s="1424">
        <v>0.96740139335789033</v>
      </c>
      <c r="P52" s="1424">
        <v>1.4511020900368352</v>
      </c>
      <c r="Q52" s="1424">
        <v>2.4185034833947259</v>
      </c>
      <c r="R52" s="1424">
        <v>2.4185034833947259</v>
      </c>
      <c r="S52" s="1424">
        <v>2.4185034833947259</v>
      </c>
      <c r="T52" s="1424">
        <v>2.4185034833947259</v>
      </c>
      <c r="U52" s="1424">
        <v>4.8370069667894517</v>
      </c>
      <c r="V52" s="1424">
        <v>7.2555104501841772</v>
      </c>
      <c r="W52" s="1424">
        <v>12.092517416973628</v>
      </c>
      <c r="X52" s="1424">
        <v>12.092517416973628</v>
      </c>
      <c r="Y52" s="1424">
        <v>0</v>
      </c>
      <c r="Z52" s="1424">
        <v>0</v>
      </c>
      <c r="AA52" s="1424">
        <v>0</v>
      </c>
      <c r="AB52" s="1424">
        <v>0</v>
      </c>
      <c r="AC52" s="1424">
        <v>0</v>
      </c>
      <c r="AD52" s="1424">
        <v>0</v>
      </c>
      <c r="AE52" s="1424">
        <v>0</v>
      </c>
      <c r="AF52" s="1424">
        <v>0</v>
      </c>
      <c r="AG52" s="1424">
        <v>0</v>
      </c>
      <c r="AH52" s="1424">
        <v>0</v>
      </c>
      <c r="AI52" s="1424">
        <v>0</v>
      </c>
      <c r="AJ52" s="1424">
        <v>0</v>
      </c>
      <c r="AK52" s="1424">
        <v>0</v>
      </c>
      <c r="AL52" s="1424">
        <v>0</v>
      </c>
      <c r="AM52" s="1424">
        <v>0</v>
      </c>
      <c r="AN52" s="1424">
        <v>5.6935183116455935E-2</v>
      </c>
      <c r="AO52" s="1424">
        <v>8.5402774674683921E-2</v>
      </c>
      <c r="AP52" s="1424">
        <v>0.14233795779113986</v>
      </c>
      <c r="AQ52" s="1424">
        <v>0.14233795779113986</v>
      </c>
      <c r="AR52" s="1424">
        <v>0.14233795779113986</v>
      </c>
      <c r="AS52" s="1424">
        <v>0.14233795779113986</v>
      </c>
      <c r="AT52" s="1424">
        <v>0.28467591558227973</v>
      </c>
      <c r="AU52" s="1424">
        <v>0.42701387337341956</v>
      </c>
      <c r="AV52" s="1424">
        <v>0.71168978895569934</v>
      </c>
      <c r="AW52" s="1424">
        <v>0.71168978895569934</v>
      </c>
      <c r="AX52" s="1424">
        <v>0</v>
      </c>
      <c r="AY52" s="1424">
        <v>0</v>
      </c>
      <c r="AZ52" s="1424">
        <v>0</v>
      </c>
      <c r="BA52" s="1424">
        <v>0</v>
      </c>
      <c r="BB52" s="1424">
        <v>0</v>
      </c>
      <c r="BC52" s="1424">
        <v>0.90569731714477653</v>
      </c>
      <c r="BD52" s="1424">
        <v>1.3585459757171647</v>
      </c>
      <c r="BE52" s="1424">
        <v>2.2642432928619414</v>
      </c>
      <c r="BF52" s="1424">
        <v>2.2642432928619414</v>
      </c>
      <c r="BG52" s="1424">
        <v>2.2642432928619414</v>
      </c>
      <c r="BH52" s="1424">
        <v>2.2642432928619414</v>
      </c>
      <c r="BI52" s="1424">
        <v>4.5284865857238827</v>
      </c>
      <c r="BJ52" s="1424">
        <v>6.792729878585825</v>
      </c>
      <c r="BK52" s="1424">
        <v>11.321216464309707</v>
      </c>
      <c r="BL52" s="1424">
        <v>11.321216464309707</v>
      </c>
      <c r="BM52" s="1424">
        <v>5.6935183116455935E-2</v>
      </c>
      <c r="BN52" s="1424">
        <v>8.5402774674683921E-2</v>
      </c>
      <c r="BO52" s="1424">
        <v>0.14233795779113986</v>
      </c>
      <c r="BP52" s="1424">
        <v>0.14233795779113986</v>
      </c>
      <c r="BQ52" s="1424">
        <v>0.14233795779113986</v>
      </c>
      <c r="BR52" s="1424">
        <v>0.14233795779113986</v>
      </c>
      <c r="BS52" s="1424">
        <v>0.28467591558227973</v>
      </c>
      <c r="BT52" s="1424">
        <v>0.42701387337341956</v>
      </c>
      <c r="BU52" s="1424">
        <v>0.71168978895569934</v>
      </c>
      <c r="BV52" s="1424">
        <v>0.71168978895569934</v>
      </c>
      <c r="BW52" s="1424">
        <v>0</v>
      </c>
      <c r="BX52" s="1424">
        <v>0</v>
      </c>
      <c r="BY52" s="1424">
        <v>0</v>
      </c>
      <c r="BZ52" s="1424">
        <v>0</v>
      </c>
      <c r="CA52" s="1424">
        <v>0</v>
      </c>
      <c r="CB52" s="1424">
        <v>0</v>
      </c>
      <c r="CC52" s="1424">
        <v>0</v>
      </c>
      <c r="CD52" s="1424">
        <v>0</v>
      </c>
      <c r="CE52" s="1424">
        <v>0</v>
      </c>
      <c r="CF52" s="1424">
        <v>0</v>
      </c>
      <c r="CG52" s="1424">
        <v>0</v>
      </c>
      <c r="CH52" s="1424">
        <v>0</v>
      </c>
      <c r="CI52" s="1424">
        <v>0</v>
      </c>
      <c r="CJ52" s="1424">
        <v>0</v>
      </c>
      <c r="CK52" s="1424">
        <v>0</v>
      </c>
      <c r="CL52" s="1424">
        <v>5.6935183116455935E-2</v>
      </c>
      <c r="CM52" s="1424">
        <v>8.5402774674683921E-2</v>
      </c>
      <c r="CN52" s="1424">
        <v>0.14233795779113986</v>
      </c>
      <c r="CO52" s="1424">
        <v>0.14233795779113986</v>
      </c>
      <c r="CP52" s="1425">
        <v>0.14233795779113986</v>
      </c>
    </row>
    <row r="53" spans="2:94" ht="30" customHeight="1" x14ac:dyDescent="0.3">
      <c r="B53" s="1729"/>
      <c r="C53" s="1446" t="s">
        <v>1337</v>
      </c>
      <c r="D53" s="1446" t="s">
        <v>1338</v>
      </c>
      <c r="E53" s="1260" t="s">
        <v>1317</v>
      </c>
      <c r="F53" s="1287"/>
      <c r="G53" s="1287"/>
      <c r="H53" s="1264" t="s">
        <v>1318</v>
      </c>
      <c r="I53" s="1261"/>
      <c r="J53" s="1259"/>
      <c r="K53" s="1259"/>
      <c r="L53" s="1259"/>
      <c r="M53" s="1259"/>
      <c r="N53" s="1426"/>
      <c r="O53" s="1427">
        <v>0</v>
      </c>
      <c r="P53" s="1427">
        <v>0</v>
      </c>
      <c r="Q53" s="1427">
        <v>0</v>
      </c>
      <c r="R53" s="1427">
        <v>0</v>
      </c>
      <c r="S53" s="1427">
        <v>0</v>
      </c>
      <c r="T53" s="1427">
        <v>0</v>
      </c>
      <c r="U53" s="1427">
        <v>0</v>
      </c>
      <c r="V53" s="1427">
        <v>0</v>
      </c>
      <c r="W53" s="1427">
        <v>0</v>
      </c>
      <c r="X53" s="1427">
        <v>0</v>
      </c>
      <c r="Y53" s="1427">
        <v>0.1234268563928147</v>
      </c>
      <c r="Z53" s="1427">
        <v>0.1234268563928147</v>
      </c>
      <c r="AA53" s="1427">
        <v>0.1234268563928147</v>
      </c>
      <c r="AB53" s="1427">
        <v>0.1234268563928147</v>
      </c>
      <c r="AC53" s="1427">
        <v>0.1234268563928147</v>
      </c>
      <c r="AD53" s="1427">
        <v>0.1234268563928147</v>
      </c>
      <c r="AE53" s="1427">
        <v>0.1234268563928147</v>
      </c>
      <c r="AF53" s="1427">
        <v>0.1234268563928147</v>
      </c>
      <c r="AG53" s="1427">
        <v>0.1234268563928147</v>
      </c>
      <c r="AH53" s="1427">
        <v>0.1234268563928147</v>
      </c>
      <c r="AI53" s="1427">
        <v>0.1234268563928147</v>
      </c>
      <c r="AJ53" s="1427">
        <v>0.1234268563928147</v>
      </c>
      <c r="AK53" s="1427">
        <v>0.1234268563928147</v>
      </c>
      <c r="AL53" s="1427">
        <v>0.1234268563928147</v>
      </c>
      <c r="AM53" s="1427">
        <v>0.1234268563928147</v>
      </c>
      <c r="AN53" s="1427">
        <v>0.1234268563928147</v>
      </c>
      <c r="AO53" s="1427">
        <v>0.1234268563928147</v>
      </c>
      <c r="AP53" s="1427">
        <v>0.1234268563928147</v>
      </c>
      <c r="AQ53" s="1427">
        <v>0.1234268563928147</v>
      </c>
      <c r="AR53" s="1427">
        <v>0.1234268563928147</v>
      </c>
      <c r="AS53" s="1427">
        <v>0.1234268563928147</v>
      </c>
      <c r="AT53" s="1427">
        <v>0.1234268563928147</v>
      </c>
      <c r="AU53" s="1427">
        <v>0.1234268563928147</v>
      </c>
      <c r="AV53" s="1427">
        <v>0.1234268563928147</v>
      </c>
      <c r="AW53" s="1427">
        <v>0.1234268563928147</v>
      </c>
      <c r="AX53" s="1427">
        <v>0.1234268563928147</v>
      </c>
      <c r="AY53" s="1427">
        <v>0.1234268563928147</v>
      </c>
      <c r="AZ53" s="1427">
        <v>0.1234268563928147</v>
      </c>
      <c r="BA53" s="1427">
        <v>0.1234268563928147</v>
      </c>
      <c r="BB53" s="1427">
        <v>0.1234268563928147</v>
      </c>
      <c r="BC53" s="1427">
        <v>0.1234268563928147</v>
      </c>
      <c r="BD53" s="1427">
        <v>0.1234268563928147</v>
      </c>
      <c r="BE53" s="1427">
        <v>0.1234268563928147</v>
      </c>
      <c r="BF53" s="1427">
        <v>0.1234268563928147</v>
      </c>
      <c r="BG53" s="1427">
        <v>0.1234268563928147</v>
      </c>
      <c r="BH53" s="1427">
        <v>0.1234268563928147</v>
      </c>
      <c r="BI53" s="1427">
        <v>0.1234268563928147</v>
      </c>
      <c r="BJ53" s="1427">
        <v>0.1234268563928147</v>
      </c>
      <c r="BK53" s="1427">
        <v>0.1234268563928147</v>
      </c>
      <c r="BL53" s="1427">
        <v>0.1234268563928147</v>
      </c>
      <c r="BM53" s="1427">
        <v>0.1234268563928147</v>
      </c>
      <c r="BN53" s="1427">
        <v>0.1234268563928147</v>
      </c>
      <c r="BO53" s="1427">
        <v>0.1234268563928147</v>
      </c>
      <c r="BP53" s="1427">
        <v>0.1234268563928147</v>
      </c>
      <c r="BQ53" s="1427">
        <v>0.1234268563928147</v>
      </c>
      <c r="BR53" s="1427">
        <v>0.1234268563928147</v>
      </c>
      <c r="BS53" s="1427">
        <v>0.1234268563928147</v>
      </c>
      <c r="BT53" s="1427">
        <v>0.1234268563928147</v>
      </c>
      <c r="BU53" s="1427">
        <v>0.1234268563928147</v>
      </c>
      <c r="BV53" s="1427">
        <v>0.1234268563928147</v>
      </c>
      <c r="BW53" s="1427">
        <v>0.1234268563928147</v>
      </c>
      <c r="BX53" s="1427">
        <v>0.1234268563928147</v>
      </c>
      <c r="BY53" s="1427">
        <v>0.1234268563928147</v>
      </c>
      <c r="BZ53" s="1427">
        <v>0.1234268563928147</v>
      </c>
      <c r="CA53" s="1427">
        <v>0.1234268563928147</v>
      </c>
      <c r="CB53" s="1427">
        <v>0.1234268563928147</v>
      </c>
      <c r="CC53" s="1427">
        <v>0.1234268563928147</v>
      </c>
      <c r="CD53" s="1427">
        <v>0.1234268563928147</v>
      </c>
      <c r="CE53" s="1427">
        <v>0.1234268563928147</v>
      </c>
      <c r="CF53" s="1427">
        <v>0.1234268563928147</v>
      </c>
      <c r="CG53" s="1427">
        <v>0.1234268563928147</v>
      </c>
      <c r="CH53" s="1427">
        <v>0.1234268563928147</v>
      </c>
      <c r="CI53" s="1427">
        <v>0.1234268563928147</v>
      </c>
      <c r="CJ53" s="1427">
        <v>0.1234268563928147</v>
      </c>
      <c r="CK53" s="1427">
        <v>0.1234268563928147</v>
      </c>
      <c r="CL53" s="1427">
        <v>0.1234268563928147</v>
      </c>
      <c r="CM53" s="1427">
        <v>0.1234268563928147</v>
      </c>
      <c r="CN53" s="1427">
        <v>0.1234268563928147</v>
      </c>
      <c r="CO53" s="1427">
        <v>0.1234268563928147</v>
      </c>
      <c r="CP53" s="1428">
        <v>0.1234268563928147</v>
      </c>
    </row>
    <row r="54" spans="2:94" ht="30" customHeight="1" x14ac:dyDescent="0.3">
      <c r="B54" s="1729"/>
      <c r="C54" s="1446" t="s">
        <v>1337</v>
      </c>
      <c r="D54" s="1446" t="s">
        <v>1338</v>
      </c>
      <c r="E54" s="1260" t="s">
        <v>1319</v>
      </c>
      <c r="F54" s="1287"/>
      <c r="G54" s="1287"/>
      <c r="H54" s="1264" t="s">
        <v>1318</v>
      </c>
      <c r="I54" s="1261"/>
      <c r="J54" s="1259"/>
      <c r="K54" s="1259"/>
      <c r="L54" s="1259"/>
      <c r="M54" s="1259"/>
      <c r="N54" s="1426"/>
      <c r="O54" s="1427">
        <v>5.2862872112348275E-2</v>
      </c>
      <c r="P54" s="1427">
        <v>0.13142778029949467</v>
      </c>
      <c r="Q54" s="1427">
        <v>0.26176146062692546</v>
      </c>
      <c r="R54" s="1427">
        <v>0.39027164100091621</v>
      </c>
      <c r="S54" s="1427">
        <v>0.51695832142146692</v>
      </c>
      <c r="T54" s="1427">
        <v>0.64182150188857778</v>
      </c>
      <c r="U54" s="1427">
        <v>0.89701836268311941</v>
      </c>
      <c r="V54" s="1427">
        <v>1.2807254038516518</v>
      </c>
      <c r="W54" s="1427">
        <v>1.9232763057216058</v>
      </c>
      <c r="X54" s="1427">
        <v>2.5567097078243601</v>
      </c>
      <c r="Y54" s="1427">
        <v>2.5202397087555606</v>
      </c>
      <c r="Z54" s="1427">
        <v>2.483769709686761</v>
      </c>
      <c r="AA54" s="1427">
        <v>2.4472997106179619</v>
      </c>
      <c r="AB54" s="1427">
        <v>2.4108297115491624</v>
      </c>
      <c r="AC54" s="1427">
        <v>2.3743597124803633</v>
      </c>
      <c r="AD54" s="1427">
        <v>2.3378897134115637</v>
      </c>
      <c r="AE54" s="1427">
        <v>2.3014197143427646</v>
      </c>
      <c r="AF54" s="1427">
        <v>2.2649497152739655</v>
      </c>
      <c r="AG54" s="1427">
        <v>2.2284797162051655</v>
      </c>
      <c r="AH54" s="1427">
        <v>2.1920097171363664</v>
      </c>
      <c r="AI54" s="1427">
        <v>2.1555397180675668</v>
      </c>
      <c r="AJ54" s="1427">
        <v>2.1190697189987682</v>
      </c>
      <c r="AK54" s="1427">
        <v>2.0825997199299686</v>
      </c>
      <c r="AL54" s="1427">
        <v>2.0461297208611695</v>
      </c>
      <c r="AM54" s="1427">
        <v>2.00965972179237</v>
      </c>
      <c r="AN54" s="1427">
        <v>1.9748522300705709</v>
      </c>
      <c r="AO54" s="1427">
        <v>1.9408759920222725</v>
      </c>
      <c r="AP54" s="1427">
        <v>1.9085622613209743</v>
      </c>
      <c r="AQ54" s="1427">
        <v>1.8762485306196763</v>
      </c>
      <c r="AR54" s="1427">
        <v>1.8439347999183782</v>
      </c>
      <c r="AS54" s="1427">
        <v>1.8116210692170802</v>
      </c>
      <c r="AT54" s="1427">
        <v>1.7834636068832836</v>
      </c>
      <c r="AU54" s="1427">
        <v>1.759462412916988</v>
      </c>
      <c r="AV54" s="1427">
        <v>1.7437737556856949</v>
      </c>
      <c r="AW54" s="1427">
        <v>1.7280850984544021</v>
      </c>
      <c r="AX54" s="1427">
        <v>1.6916150993856027</v>
      </c>
      <c r="AY54" s="1427">
        <v>1.6551451003168034</v>
      </c>
      <c r="AZ54" s="1427">
        <v>1.6186751012480038</v>
      </c>
      <c r="BA54" s="1427">
        <v>1.5822051021792045</v>
      </c>
      <c r="BB54" s="1427">
        <v>1.5457351031104052</v>
      </c>
      <c r="BC54" s="1427">
        <v>1.5357114657022335</v>
      </c>
      <c r="BD54" s="1427">
        <v>1.538911009124375</v>
      </c>
      <c r="BE54" s="1427">
        <v>1.5685569142071443</v>
      </c>
      <c r="BF54" s="1427">
        <v>1.5982028192899134</v>
      </c>
      <c r="BG54" s="1427">
        <v>1.6278487243726829</v>
      </c>
      <c r="BH54" s="1427">
        <v>1.6574946294554525</v>
      </c>
      <c r="BI54" s="1427">
        <v>1.7532564386897904</v>
      </c>
      <c r="BJ54" s="1427">
        <v>1.9151341520756968</v>
      </c>
      <c r="BK54" s="1427">
        <v>2.2092436737647412</v>
      </c>
      <c r="BL54" s="1427">
        <v>2.5033531954537858</v>
      </c>
      <c r="BM54" s="1427">
        <v>2.4685457037319867</v>
      </c>
      <c r="BN54" s="1427">
        <v>2.4345694656836883</v>
      </c>
      <c r="BO54" s="1427">
        <v>2.4022557349823903</v>
      </c>
      <c r="BP54" s="1427">
        <v>2.3699420042810915</v>
      </c>
      <c r="BQ54" s="1427">
        <v>2.337628273579794</v>
      </c>
      <c r="BR54" s="1427">
        <v>2.3053145428784956</v>
      </c>
      <c r="BS54" s="1427">
        <v>2.2771570805446992</v>
      </c>
      <c r="BT54" s="1427">
        <v>2.2531558865784036</v>
      </c>
      <c r="BU54" s="1427">
        <v>2.2374672293471107</v>
      </c>
      <c r="BV54" s="1427">
        <v>2.2217785721158179</v>
      </c>
      <c r="BW54" s="1427">
        <v>2.1853085730470183</v>
      </c>
      <c r="BX54" s="1427">
        <v>2.1488385739782188</v>
      </c>
      <c r="BY54" s="1427">
        <v>2.1123685749094196</v>
      </c>
      <c r="BZ54" s="1427">
        <v>2.0758985758406205</v>
      </c>
      <c r="CA54" s="1427">
        <v>2.039428576771821</v>
      </c>
      <c r="CB54" s="1427">
        <v>2.0029585777030214</v>
      </c>
      <c r="CC54" s="1427">
        <v>1.9664885786342223</v>
      </c>
      <c r="CD54" s="1427">
        <v>1.9300185795654232</v>
      </c>
      <c r="CE54" s="1427">
        <v>1.8935485804966239</v>
      </c>
      <c r="CF54" s="1427">
        <v>1.8570785814278246</v>
      </c>
      <c r="CG54" s="1427">
        <v>1.8206085823590252</v>
      </c>
      <c r="CH54" s="1427">
        <v>1.7841385832902257</v>
      </c>
      <c r="CI54" s="1427">
        <v>1.7476685842214263</v>
      </c>
      <c r="CJ54" s="1427">
        <v>1.711198585152627</v>
      </c>
      <c r="CK54" s="1427">
        <v>1.6747285860838277</v>
      </c>
      <c r="CL54" s="1427">
        <v>1.6399210943620288</v>
      </c>
      <c r="CM54" s="1427">
        <v>1.60594485631373</v>
      </c>
      <c r="CN54" s="1427">
        <v>1.5736311256124322</v>
      </c>
      <c r="CO54" s="1427">
        <v>1.5413173949111341</v>
      </c>
      <c r="CP54" s="1428">
        <v>1.5090036642098359</v>
      </c>
    </row>
    <row r="55" spans="2:94" ht="30" customHeight="1" x14ac:dyDescent="0.3">
      <c r="B55" s="1729"/>
      <c r="C55" s="1446" t="s">
        <v>1337</v>
      </c>
      <c r="D55" s="1446" t="s">
        <v>1338</v>
      </c>
      <c r="E55" s="1260" t="s">
        <v>1320</v>
      </c>
      <c r="F55" s="1287"/>
      <c r="G55" s="1287"/>
      <c r="H55" s="1264" t="s">
        <v>1318</v>
      </c>
      <c r="I55" s="1261"/>
      <c r="J55" s="1259"/>
      <c r="K55" s="1259"/>
      <c r="L55" s="1259"/>
      <c r="M55" s="1259"/>
      <c r="N55" s="1426"/>
      <c r="O55" s="1427"/>
      <c r="P55" s="1427">
        <v>3.5000000000000003E-2</v>
      </c>
      <c r="Q55" s="1427">
        <v>3.5000000000000003E-2</v>
      </c>
      <c r="R55" s="1427">
        <v>3.5000000000000003E-2</v>
      </c>
      <c r="S55" s="1427">
        <v>3.5000000000000003E-2</v>
      </c>
      <c r="T55" s="1427">
        <v>3.5000000000000003E-2</v>
      </c>
      <c r="U55" s="1427">
        <v>3.5000000000000003E-2</v>
      </c>
      <c r="V55" s="1427">
        <v>3.5000000000000003E-2</v>
      </c>
      <c r="W55" s="1427">
        <v>3.5000000000000003E-2</v>
      </c>
      <c r="X55" s="1427">
        <v>3.5000000000000003E-2</v>
      </c>
      <c r="Y55" s="1427">
        <v>3.5000000000000003E-2</v>
      </c>
      <c r="Z55" s="1427">
        <v>3.5000000000000003E-2</v>
      </c>
      <c r="AA55" s="1427">
        <v>3.5000000000000003E-2</v>
      </c>
      <c r="AB55" s="1427">
        <v>3.5000000000000003E-2</v>
      </c>
      <c r="AC55" s="1427">
        <v>3.5000000000000003E-2</v>
      </c>
      <c r="AD55" s="1427">
        <v>3.5000000000000003E-2</v>
      </c>
      <c r="AE55" s="1427">
        <v>3.5000000000000003E-2</v>
      </c>
      <c r="AF55" s="1427">
        <v>3.5000000000000003E-2</v>
      </c>
      <c r="AG55" s="1427">
        <v>3.5000000000000003E-2</v>
      </c>
      <c r="AH55" s="1427">
        <v>3.5000000000000003E-2</v>
      </c>
      <c r="AI55" s="1427">
        <v>3.5000000000000003E-2</v>
      </c>
      <c r="AJ55" s="1427">
        <v>3.5000000000000003E-2</v>
      </c>
      <c r="AK55" s="1427">
        <v>3.5000000000000003E-2</v>
      </c>
      <c r="AL55" s="1427">
        <v>3.5000000000000003E-2</v>
      </c>
      <c r="AM55" s="1427">
        <v>3.5000000000000003E-2</v>
      </c>
      <c r="AN55" s="1427">
        <v>3.5000000000000003E-2</v>
      </c>
      <c r="AO55" s="1427">
        <v>3.5000000000000003E-2</v>
      </c>
      <c r="AP55" s="1427">
        <v>3.5000000000000003E-2</v>
      </c>
      <c r="AQ55" s="1427">
        <v>3.5000000000000003E-2</v>
      </c>
      <c r="AR55" s="1427">
        <v>3.5000000000000003E-2</v>
      </c>
      <c r="AS55" s="1427">
        <v>0.03</v>
      </c>
      <c r="AT55" s="1427">
        <v>0.03</v>
      </c>
      <c r="AU55" s="1427">
        <v>0.03</v>
      </c>
      <c r="AV55" s="1427">
        <v>0.03</v>
      </c>
      <c r="AW55" s="1427">
        <v>0.03</v>
      </c>
      <c r="AX55" s="1427">
        <v>0.03</v>
      </c>
      <c r="AY55" s="1427">
        <v>0.03</v>
      </c>
      <c r="AZ55" s="1427">
        <v>0.03</v>
      </c>
      <c r="BA55" s="1427">
        <v>0.03</v>
      </c>
      <c r="BB55" s="1427">
        <v>0.03</v>
      </c>
      <c r="BC55" s="1427">
        <v>0.03</v>
      </c>
      <c r="BD55" s="1427">
        <v>0.03</v>
      </c>
      <c r="BE55" s="1427">
        <v>0.03</v>
      </c>
      <c r="BF55" s="1427">
        <v>0.03</v>
      </c>
      <c r="BG55" s="1427">
        <v>0.03</v>
      </c>
      <c r="BH55" s="1427">
        <v>0.03</v>
      </c>
      <c r="BI55" s="1427">
        <v>0.03</v>
      </c>
      <c r="BJ55" s="1427">
        <v>0.03</v>
      </c>
      <c r="BK55" s="1427">
        <v>0.03</v>
      </c>
      <c r="BL55" s="1427">
        <v>0.03</v>
      </c>
      <c r="BM55" s="1427">
        <v>0.03</v>
      </c>
      <c r="BN55" s="1427">
        <v>0.03</v>
      </c>
      <c r="BO55" s="1427">
        <v>0.03</v>
      </c>
      <c r="BP55" s="1427">
        <v>0.03</v>
      </c>
      <c r="BQ55" s="1427">
        <v>0.03</v>
      </c>
      <c r="BR55" s="1427">
        <v>0.03</v>
      </c>
      <c r="BS55" s="1427">
        <v>0.03</v>
      </c>
      <c r="BT55" s="1427">
        <v>0.03</v>
      </c>
      <c r="BU55" s="1427">
        <v>0.03</v>
      </c>
      <c r="BV55" s="1427">
        <v>0.03</v>
      </c>
      <c r="BW55" s="1427">
        <v>0.03</v>
      </c>
      <c r="BX55" s="1427">
        <v>0.03</v>
      </c>
      <c r="BY55" s="1427">
        <v>0.03</v>
      </c>
      <c r="BZ55" s="1427">
        <v>0.03</v>
      </c>
      <c r="CA55" s="1427">
        <v>0.03</v>
      </c>
      <c r="CB55" s="1427">
        <v>0.03</v>
      </c>
      <c r="CC55" s="1427">
        <v>0.03</v>
      </c>
      <c r="CD55" s="1427">
        <v>0.03</v>
      </c>
      <c r="CE55" s="1427">
        <v>0.03</v>
      </c>
      <c r="CF55" s="1427">
        <v>0.03</v>
      </c>
      <c r="CG55" s="1427">
        <v>0.03</v>
      </c>
      <c r="CH55" s="1427">
        <v>0.03</v>
      </c>
      <c r="CI55" s="1427">
        <v>0.03</v>
      </c>
      <c r="CJ55" s="1427">
        <v>0.03</v>
      </c>
      <c r="CK55" s="1427">
        <v>0.03</v>
      </c>
      <c r="CL55" s="1427">
        <v>2.5000000000000001E-2</v>
      </c>
      <c r="CM55" s="1427">
        <v>2.5000000000000001E-2</v>
      </c>
      <c r="CN55" s="1427">
        <v>2.5000000000000001E-2</v>
      </c>
      <c r="CO55" s="1427">
        <v>2.5000000000000001E-2</v>
      </c>
      <c r="CP55" s="1428">
        <v>2.5000000000000001E-2</v>
      </c>
    </row>
    <row r="56" spans="2:94" ht="30" customHeight="1" x14ac:dyDescent="0.3">
      <c r="B56" s="1729"/>
      <c r="C56" s="1446" t="s">
        <v>1337</v>
      </c>
      <c r="D56" s="1446" t="s">
        <v>1338</v>
      </c>
      <c r="E56" s="1260" t="s">
        <v>1321</v>
      </c>
      <c r="F56" s="1287"/>
      <c r="G56" s="1287"/>
      <c r="H56" s="1264" t="s">
        <v>1318</v>
      </c>
      <c r="I56" s="1261"/>
      <c r="J56" s="1259"/>
      <c r="K56" s="1259"/>
      <c r="L56" s="1259"/>
      <c r="M56" s="1259"/>
      <c r="N56" s="1426"/>
      <c r="O56" s="1427">
        <v>1</v>
      </c>
      <c r="P56" s="1427">
        <v>0.96618357487922713</v>
      </c>
      <c r="Q56" s="1427">
        <v>0.93351070036640305</v>
      </c>
      <c r="R56" s="1427">
        <v>0.90194270566802237</v>
      </c>
      <c r="S56" s="1427">
        <v>0.87144222769857238</v>
      </c>
      <c r="T56" s="1427">
        <v>0.84197316685852408</v>
      </c>
      <c r="U56" s="1427">
        <v>0.81350064430775282</v>
      </c>
      <c r="V56" s="1427">
        <v>0.78599096068381924</v>
      </c>
      <c r="W56" s="1427">
        <v>0.75941155621625056</v>
      </c>
      <c r="X56" s="1427">
        <v>0.73373097218961414</v>
      </c>
      <c r="Y56" s="1427">
        <v>0.70891881370977217</v>
      </c>
      <c r="Z56" s="1427">
        <v>0.68494571372924851</v>
      </c>
      <c r="AA56" s="1427">
        <v>0.66178329828912907</v>
      </c>
      <c r="AB56" s="1427">
        <v>0.63940415293635666</v>
      </c>
      <c r="AC56" s="1427">
        <v>0.61778179027667313</v>
      </c>
      <c r="AD56" s="1427">
        <v>0.59689061862480497</v>
      </c>
      <c r="AE56" s="1427">
        <v>0.57670591171478747</v>
      </c>
      <c r="AF56" s="1427">
        <v>0.55720377943457733</v>
      </c>
      <c r="AG56" s="1427">
        <v>0.53836113955031628</v>
      </c>
      <c r="AH56" s="1427">
        <v>0.520155690386779</v>
      </c>
      <c r="AI56" s="1427">
        <v>0.50256588443167061</v>
      </c>
      <c r="AJ56" s="1427">
        <v>0.48557090283253201</v>
      </c>
      <c r="AK56" s="1427">
        <v>0.46915063075606961</v>
      </c>
      <c r="AL56" s="1427">
        <v>0.45328563358074364</v>
      </c>
      <c r="AM56" s="1427">
        <v>0.43795713389443836</v>
      </c>
      <c r="AN56" s="1427">
        <v>0.42314698926998878</v>
      </c>
      <c r="AO56" s="1427">
        <v>0.40883767079225974</v>
      </c>
      <c r="AP56" s="1427">
        <v>0.39501224231136212</v>
      </c>
      <c r="AQ56" s="1427">
        <v>0.38165434039745133</v>
      </c>
      <c r="AR56" s="1427">
        <v>0.36874815497338298</v>
      </c>
      <c r="AS56" s="1427">
        <v>0.35800791744988636</v>
      </c>
      <c r="AT56" s="1427">
        <v>0.34758050237853044</v>
      </c>
      <c r="AU56" s="1427">
        <v>0.33745679842575771</v>
      </c>
      <c r="AV56" s="1427">
        <v>0.32762795963665797</v>
      </c>
      <c r="AW56" s="1427">
        <v>0.31808539770549316</v>
      </c>
      <c r="AX56" s="1427">
        <v>0.30882077447135259</v>
      </c>
      <c r="AY56" s="1427">
        <v>0.29982599463238113</v>
      </c>
      <c r="AZ56" s="1427">
        <v>0.29109319867221467</v>
      </c>
      <c r="BA56" s="1427">
        <v>0.2826147559924414</v>
      </c>
      <c r="BB56" s="1427">
        <v>0.27438325824508875</v>
      </c>
      <c r="BC56" s="1427">
        <v>0.26639151285930945</v>
      </c>
      <c r="BD56" s="1427">
        <v>0.25863253675661113</v>
      </c>
      <c r="BE56" s="1427">
        <v>0.25109955024913699</v>
      </c>
      <c r="BF56" s="1427">
        <v>0.24378597111566697</v>
      </c>
      <c r="BG56" s="1427">
        <v>0.23668540885016209</v>
      </c>
      <c r="BH56" s="1427">
        <v>0.22979165907782728</v>
      </c>
      <c r="BI56" s="1427">
        <v>0.22309869813381289</v>
      </c>
      <c r="BJ56" s="1427">
        <v>0.21660067779981834</v>
      </c>
      <c r="BK56" s="1427">
        <v>0.21029192019399839</v>
      </c>
      <c r="BL56" s="1427">
        <v>0.20416691280970717</v>
      </c>
      <c r="BM56" s="1427">
        <v>0.19822030369874483</v>
      </c>
      <c r="BN56" s="1427">
        <v>0.19244689679489788</v>
      </c>
      <c r="BO56" s="1427">
        <v>0.18684164737368725</v>
      </c>
      <c r="BP56" s="1427">
        <v>0.18139965764435656</v>
      </c>
      <c r="BQ56" s="1427">
        <v>0.17611617247024908</v>
      </c>
      <c r="BR56" s="1427">
        <v>0.17098657521383406</v>
      </c>
      <c r="BS56" s="1427">
        <v>0.1660063837027515</v>
      </c>
      <c r="BT56" s="1427">
        <v>0.16117124631335097</v>
      </c>
      <c r="BU56" s="1427">
        <v>0.15647693816830191</v>
      </c>
      <c r="BV56" s="1427">
        <v>0.1519193574449533</v>
      </c>
      <c r="BW56" s="1427">
        <v>0.1474945217912168</v>
      </c>
      <c r="BX56" s="1427">
        <v>0.14319856484584156</v>
      </c>
      <c r="BY56" s="1427">
        <v>0.13902773286004036</v>
      </c>
      <c r="BZ56" s="1427">
        <v>0.13497838141751492</v>
      </c>
      <c r="CA56" s="1427">
        <v>0.13104697225001449</v>
      </c>
      <c r="CB56" s="1427">
        <v>0.12723007014564514</v>
      </c>
      <c r="CC56" s="1427">
        <v>0.12352433994722828</v>
      </c>
      <c r="CD56" s="1427">
        <v>0.11992654363808571</v>
      </c>
      <c r="CE56" s="1427">
        <v>0.11643353751270456</v>
      </c>
      <c r="CF56" s="1427">
        <v>0.11304226942981026</v>
      </c>
      <c r="CG56" s="1427">
        <v>0.10974977614544684</v>
      </c>
      <c r="CH56" s="1427">
        <v>0.10655318072373479</v>
      </c>
      <c r="CI56" s="1427">
        <v>0.10344969002304348</v>
      </c>
      <c r="CJ56" s="1427">
        <v>0.10043659225538201</v>
      </c>
      <c r="CK56" s="1427">
        <v>9.7511254616875737E-2</v>
      </c>
      <c r="CL56" s="1427">
        <v>9.5132931333537313E-2</v>
      </c>
      <c r="CM56" s="1427">
        <v>9.2812615935158368E-2</v>
      </c>
      <c r="CN56" s="1427">
        <v>9.0548893595276458E-2</v>
      </c>
      <c r="CO56" s="1427">
        <v>8.834038399539168E-2</v>
      </c>
      <c r="CP56" s="1428">
        <v>8.6185740483308959E-2</v>
      </c>
    </row>
    <row r="57" spans="2:94" ht="30" hidden="1" customHeight="1" x14ac:dyDescent="0.3">
      <c r="B57" s="1729"/>
      <c r="C57" s="1446" t="s">
        <v>1337</v>
      </c>
      <c r="D57" s="1446" t="s">
        <v>1338</v>
      </c>
      <c r="E57" s="1260" t="s">
        <v>1322</v>
      </c>
      <c r="F57" s="1260" t="s">
        <v>1330</v>
      </c>
      <c r="G57" s="1260"/>
      <c r="H57" s="1260" t="s">
        <v>1324</v>
      </c>
      <c r="I57" s="1261"/>
      <c r="J57" s="1259"/>
      <c r="K57" s="1259"/>
      <c r="L57" s="1259"/>
      <c r="M57" s="1259"/>
      <c r="N57" s="1426"/>
      <c r="O57" s="1427"/>
      <c r="P57" s="1427"/>
      <c r="Q57" s="1427"/>
      <c r="R57" s="1427"/>
      <c r="S57" s="1427"/>
      <c r="T57" s="1427"/>
      <c r="U57" s="1427"/>
      <c r="V57" s="1427"/>
      <c r="W57" s="1427"/>
      <c r="X57" s="1427"/>
      <c r="Y57" s="1427"/>
      <c r="Z57" s="1427"/>
      <c r="AA57" s="1427"/>
      <c r="AB57" s="1427"/>
      <c r="AC57" s="1427"/>
      <c r="AD57" s="1427"/>
      <c r="AE57" s="1427"/>
      <c r="AF57" s="1427"/>
      <c r="AG57" s="1427"/>
      <c r="AH57" s="1427"/>
      <c r="AI57" s="1427"/>
      <c r="AJ57" s="1427"/>
      <c r="AK57" s="1427"/>
      <c r="AL57" s="1427"/>
      <c r="AM57" s="1427"/>
      <c r="AN57" s="1427"/>
      <c r="AO57" s="1427"/>
      <c r="AP57" s="1427"/>
      <c r="AQ57" s="1427"/>
      <c r="AR57" s="1427"/>
      <c r="AS57" s="1427"/>
      <c r="AT57" s="1427"/>
      <c r="AU57" s="1427"/>
      <c r="AV57" s="1427"/>
      <c r="AW57" s="1427"/>
      <c r="AX57" s="1427"/>
      <c r="AY57" s="1427"/>
      <c r="AZ57" s="1427"/>
      <c r="BA57" s="1427"/>
      <c r="BB57" s="1427"/>
      <c r="BC57" s="1427"/>
      <c r="BD57" s="1427"/>
      <c r="BE57" s="1427"/>
      <c r="BF57" s="1427"/>
      <c r="BG57" s="1427"/>
      <c r="BH57" s="1427"/>
      <c r="BI57" s="1427"/>
      <c r="BJ57" s="1427"/>
      <c r="BK57" s="1427"/>
      <c r="BL57" s="1427"/>
      <c r="BM57" s="1427"/>
      <c r="BN57" s="1427"/>
      <c r="BO57" s="1427"/>
      <c r="BP57" s="1427"/>
      <c r="BQ57" s="1427"/>
      <c r="BR57" s="1427"/>
      <c r="BS57" s="1427"/>
      <c r="BT57" s="1427"/>
      <c r="BU57" s="1427"/>
      <c r="BV57" s="1427"/>
      <c r="BW57" s="1427"/>
      <c r="BX57" s="1427"/>
      <c r="BY57" s="1427"/>
      <c r="BZ57" s="1427"/>
      <c r="CA57" s="1427"/>
      <c r="CB57" s="1427"/>
      <c r="CC57" s="1427"/>
      <c r="CD57" s="1427"/>
      <c r="CE57" s="1427"/>
      <c r="CF57" s="1427"/>
      <c r="CG57" s="1427"/>
      <c r="CH57" s="1427"/>
      <c r="CI57" s="1427"/>
      <c r="CJ57" s="1427"/>
      <c r="CK57" s="1427"/>
      <c r="CL57" s="1427"/>
      <c r="CM57" s="1427"/>
      <c r="CN57" s="1427"/>
      <c r="CO57" s="1427"/>
      <c r="CP57" s="1428"/>
    </row>
    <row r="58" spans="2:94" ht="30" customHeight="1" x14ac:dyDescent="0.3">
      <c r="B58" s="1729"/>
      <c r="C58" s="1446" t="s">
        <v>1337</v>
      </c>
      <c r="D58" s="1446" t="s">
        <v>1338</v>
      </c>
      <c r="E58" s="1264" t="s">
        <v>1322</v>
      </c>
      <c r="F58" s="1260" t="s">
        <v>1325</v>
      </c>
      <c r="G58" s="1260"/>
      <c r="H58" s="1285" t="s">
        <v>1324</v>
      </c>
      <c r="I58" s="1284"/>
      <c r="J58" s="1259"/>
      <c r="K58" s="1259"/>
      <c r="L58" s="1259"/>
      <c r="M58" s="1259"/>
      <c r="N58" s="1426"/>
      <c r="O58" s="1427"/>
      <c r="P58" s="1427"/>
      <c r="Q58" s="1427"/>
      <c r="R58" s="1427"/>
      <c r="S58" s="1427"/>
      <c r="T58" s="1427"/>
      <c r="U58" s="1427"/>
      <c r="V58" s="1427"/>
      <c r="W58" s="1427"/>
      <c r="X58" s="1427"/>
      <c r="Y58" s="1427"/>
      <c r="Z58" s="1427"/>
      <c r="AA58" s="1427"/>
      <c r="AB58" s="1427"/>
      <c r="AC58" s="1427"/>
      <c r="AD58" s="1427"/>
      <c r="AE58" s="1427"/>
      <c r="AF58" s="1427"/>
      <c r="AG58" s="1427"/>
      <c r="AH58" s="1427"/>
      <c r="AI58" s="1427"/>
      <c r="AJ58" s="1427"/>
      <c r="AK58" s="1427"/>
      <c r="AL58" s="1427"/>
      <c r="AM58" s="1427"/>
      <c r="AN58" s="1427"/>
      <c r="AO58" s="1427"/>
      <c r="AP58" s="1427"/>
      <c r="AQ58" s="1427"/>
      <c r="AR58" s="1427"/>
      <c r="AS58" s="1427"/>
      <c r="AT58" s="1427"/>
      <c r="AU58" s="1427"/>
      <c r="AV58" s="1427"/>
      <c r="AW58" s="1427"/>
      <c r="AX58" s="1427"/>
      <c r="AY58" s="1427"/>
      <c r="AZ58" s="1427"/>
      <c r="BA58" s="1427"/>
      <c r="BB58" s="1427"/>
      <c r="BC58" s="1427"/>
      <c r="BD58" s="1427"/>
      <c r="BE58" s="1427"/>
      <c r="BF58" s="1427"/>
      <c r="BG58" s="1427"/>
      <c r="BH58" s="1427"/>
      <c r="BI58" s="1427"/>
      <c r="BJ58" s="1427"/>
      <c r="BK58" s="1427"/>
      <c r="BL58" s="1427"/>
      <c r="BM58" s="1427"/>
      <c r="BN58" s="1427"/>
      <c r="BO58" s="1427"/>
      <c r="BP58" s="1427"/>
      <c r="BQ58" s="1427"/>
      <c r="BR58" s="1427"/>
      <c r="BS58" s="1427"/>
      <c r="BT58" s="1427"/>
      <c r="BU58" s="1427"/>
      <c r="BV58" s="1427"/>
      <c r="BW58" s="1427"/>
      <c r="BX58" s="1427"/>
      <c r="BY58" s="1427"/>
      <c r="BZ58" s="1427"/>
      <c r="CA58" s="1427"/>
      <c r="CB58" s="1427"/>
      <c r="CC58" s="1427"/>
      <c r="CD58" s="1427"/>
      <c r="CE58" s="1427"/>
      <c r="CF58" s="1427"/>
      <c r="CG58" s="1427"/>
      <c r="CH58" s="1427"/>
      <c r="CI58" s="1427"/>
      <c r="CJ58" s="1427"/>
      <c r="CK58" s="1427"/>
      <c r="CL58" s="1427"/>
      <c r="CM58" s="1427"/>
      <c r="CN58" s="1427"/>
      <c r="CO58" s="1427"/>
      <c r="CP58" s="1428"/>
    </row>
    <row r="59" spans="2:94" s="1278" customFormat="1" ht="30" customHeight="1" thickBot="1" x14ac:dyDescent="0.35">
      <c r="B59" s="1729"/>
      <c r="C59" s="1446" t="s">
        <v>1337</v>
      </c>
      <c r="D59" s="1446" t="s">
        <v>1338</v>
      </c>
      <c r="E59" s="1280" t="s">
        <v>1326</v>
      </c>
      <c r="F59" s="1279"/>
      <c r="G59" s="1279"/>
      <c r="H59" s="1279" t="s">
        <v>163</v>
      </c>
      <c r="I59" s="1283"/>
      <c r="J59" s="1282"/>
      <c r="K59" s="1282"/>
      <c r="L59" s="1282"/>
      <c r="M59" s="1282"/>
      <c r="N59" s="1434" t="str">
        <f>IF((N53+N54)*N56&lt;&gt;0,(N53+N54)*N56,"")</f>
        <v/>
      </c>
      <c r="O59" s="1435">
        <v>5.2862872074660353E-2</v>
      </c>
      <c r="P59" s="1435">
        <v>0.12698336251454706</v>
      </c>
      <c r="Q59" s="1435">
        <v>0.24435712425398065</v>
      </c>
      <c r="R59" s="1435">
        <v>0.35200265955408006</v>
      </c>
      <c r="S59" s="1435">
        <v>0.45049931088050255</v>
      </c>
      <c r="T59" s="1435">
        <v>0.54039648204685187</v>
      </c>
      <c r="U59" s="1435">
        <v>0.72972501537691947</v>
      </c>
      <c r="V59" s="1435">
        <v>1.0066385896853089</v>
      </c>
      <c r="W59" s="1435">
        <v>1.4605582511213793</v>
      </c>
      <c r="X59" s="1435">
        <v>1.8759370979095702</v>
      </c>
      <c r="Y59" s="1435">
        <v>1.8741449635485361</v>
      </c>
      <c r="Z59" s="1435">
        <v>1.7857881110882323</v>
      </c>
      <c r="AA59" s="1435">
        <v>1.7012639047857401</v>
      </c>
      <c r="AB59" s="1435">
        <v>1.6204141723897878</v>
      </c>
      <c r="AC59" s="1435">
        <v>1.5430870564644403</v>
      </c>
      <c r="AD59" s="1435">
        <v>1.4691367681781176</v>
      </c>
      <c r="AE59" s="1435">
        <v>1.3984233505232446</v>
      </c>
      <c r="AF59" s="1435">
        <v>1.3308124506102819</v>
      </c>
      <c r="AG59" s="1435">
        <v>1.2661751006931676</v>
      </c>
      <c r="AH59" s="1435">
        <v>1.2043875075960466</v>
      </c>
      <c r="AI59" s="1435">
        <v>1.1453308502234816</v>
      </c>
      <c r="AJ59" s="1435">
        <v>1.088891084848244</v>
      </c>
      <c r="AK59" s="1435">
        <v>1.0349587578822221</v>
      </c>
      <c r="AL59" s="1435">
        <v>0.9834288258470032</v>
      </c>
      <c r="AM59" s="1435">
        <v>0.93420048227130115</v>
      </c>
      <c r="AN59" s="1435">
        <v>0.88788047630012812</v>
      </c>
      <c r="AO59" s="1435">
        <v>0.84396476667558029</v>
      </c>
      <c r="AP59" s="1435">
        <v>0.80266057622425646</v>
      </c>
      <c r="AQ59" s="1435">
        <v>0.76318478947805612</v>
      </c>
      <c r="AR59" s="1435">
        <v>0.72546097971511081</v>
      </c>
      <c r="AS59" s="1435">
        <v>0.69276247693093496</v>
      </c>
      <c r="AT59" s="1435">
        <v>0.66279794439154838</v>
      </c>
      <c r="AU59" s="1435">
        <v>0.63539378418717829</v>
      </c>
      <c r="AV59" s="1435">
        <v>0.61174712697874711</v>
      </c>
      <c r="AW59" s="1435">
        <v>0.58893891732400871</v>
      </c>
      <c r="AX59" s="1435">
        <v>0.56052266322587596</v>
      </c>
      <c r="AY59" s="1435">
        <v>0.53326210662767037</v>
      </c>
      <c r="AZ59" s="1435">
        <v>0.50711403188530979</v>
      </c>
      <c r="BA59" s="1435">
        <v>0.48203676035070941</v>
      </c>
      <c r="BB59" s="1435">
        <v>0.45799009749943614</v>
      </c>
      <c r="BC59" s="1435">
        <v>0.44198036812368818</v>
      </c>
      <c r="BD59" s="1435">
        <v>0.42993465951016896</v>
      </c>
      <c r="BE59" s="1435">
        <v>0.42485636417808909</v>
      </c>
      <c r="BF59" s="1435">
        <v>0.41970916268893832</v>
      </c>
      <c r="BG59" s="1435">
        <v>0.41450137709597862</v>
      </c>
      <c r="BH59" s="1435">
        <v>0.40924090312826633</v>
      </c>
      <c r="BI59" s="1435">
        <v>0.41868560010078532</v>
      </c>
      <c r="BJ59" s="1435">
        <v>0.44155369627583552</v>
      </c>
      <c r="BK59" s="1435">
        <v>0.49054176500958058</v>
      </c>
      <c r="BL59" s="1435">
        <v>0.53630157379951027</v>
      </c>
      <c r="BM59" s="1435">
        <v>0.51378158803645857</v>
      </c>
      <c r="BN59" s="1435">
        <v>0.49227845420729277</v>
      </c>
      <c r="BO59" s="1435">
        <v>0.47190269617692809</v>
      </c>
      <c r="BP59" s="1435">
        <v>0.45229625781617433</v>
      </c>
      <c r="BQ59" s="1435">
        <v>0.43343160988254398</v>
      </c>
      <c r="BR59" s="1435">
        <v>0.41528217413692747</v>
      </c>
      <c r="BS59" s="1435">
        <v>0.39851225844843852</v>
      </c>
      <c r="BT59" s="1435">
        <v>0.38303680312034344</v>
      </c>
      <c r="BU59" s="1435">
        <v>0.36942547862905001</v>
      </c>
      <c r="BV59" s="1435">
        <v>0.35628210279526756</v>
      </c>
      <c r="BW59" s="1435">
        <v>0.34052582907773454</v>
      </c>
      <c r="BX59" s="1435">
        <v>0.3253851495002974</v>
      </c>
      <c r="BY59" s="1435">
        <v>0.31083757082936964</v>
      </c>
      <c r="BZ59" s="1435">
        <v>0.29686138788594962</v>
      </c>
      <c r="CA59" s="1435">
        <v>0.28343565672135601</v>
      </c>
      <c r="CB59" s="1435">
        <v>0.27054016868700509</v>
      </c>
      <c r="CC59" s="1435">
        <v>0.25815542536890801</v>
      </c>
      <c r="CD59" s="1435">
        <v>0.24626261435851199</v>
      </c>
      <c r="CE59" s="1435">
        <v>0.23484358583243167</v>
      </c>
      <c r="CF59" s="1435">
        <v>0.22388082991450389</v>
      </c>
      <c r="CG59" s="1435">
        <v>0.21335745479446355</v>
      </c>
      <c r="CH59" s="1435">
        <v>0.2032571655783684</v>
      </c>
      <c r="CI59" s="1435">
        <v>0.19356424384671067</v>
      </c>
      <c r="CJ59" s="1435">
        <v>0.18426352789693237</v>
      </c>
      <c r="CK59" s="1435">
        <v>0.17534039364781792</v>
      </c>
      <c r="CL59" s="1435">
        <v>0.16775245996351271</v>
      </c>
      <c r="CM59" s="1435">
        <v>0.16050751302695004</v>
      </c>
      <c r="CN59" s="1435">
        <v>0.15366672309770632</v>
      </c>
      <c r="CO59" s="1435">
        <v>0.14706414688718417</v>
      </c>
      <c r="CP59" s="1436">
        <v>0.14069223369044254</v>
      </c>
    </row>
    <row r="60" spans="2:94" s="1278" customFormat="1" ht="30" customHeight="1" thickBot="1" x14ac:dyDescent="0.35">
      <c r="B60" s="1730"/>
      <c r="C60" s="1442" t="s">
        <v>1337</v>
      </c>
      <c r="D60" s="1438" t="s">
        <v>1338</v>
      </c>
      <c r="E60" s="1280" t="s">
        <v>1327</v>
      </c>
      <c r="F60" s="1279"/>
      <c r="G60" s="1279"/>
      <c r="H60" s="1279" t="s">
        <v>163</v>
      </c>
      <c r="I60" s="1731">
        <f>IF(SUM($N59:$CP59)&lt;&gt;0,SUM($N59:$CP59),"")</f>
        <v>50.2198506239286</v>
      </c>
      <c r="J60" s="1732"/>
      <c r="K60" s="1732"/>
      <c r="L60" s="1732"/>
      <c r="M60" s="1733"/>
    </row>
    <row r="61" spans="2:94" ht="30" customHeight="1" x14ac:dyDescent="0.3">
      <c r="B61" s="1728" t="s">
        <v>1313</v>
      </c>
      <c r="C61" s="1446" t="s">
        <v>1339</v>
      </c>
      <c r="D61" s="1446" t="s">
        <v>1159</v>
      </c>
      <c r="E61" s="1269" t="s">
        <v>1316</v>
      </c>
      <c r="F61" s="1288"/>
      <c r="G61" s="1288"/>
      <c r="H61" s="1270" t="s">
        <v>163</v>
      </c>
      <c r="I61" s="1266"/>
      <c r="J61" s="1265"/>
      <c r="K61" s="1265"/>
      <c r="L61" s="1265"/>
      <c r="M61" s="1265"/>
      <c r="N61" s="1423"/>
      <c r="O61" s="1424">
        <v>2.3737854431662018</v>
      </c>
      <c r="P61" s="1424">
        <v>4.7475708863324035</v>
      </c>
      <c r="Q61" s="1424">
        <v>4.7475708863324035</v>
      </c>
      <c r="R61" s="1424">
        <v>4.7475708863324035</v>
      </c>
      <c r="S61" s="1424">
        <v>4.7475708863324035</v>
      </c>
      <c r="T61" s="1424">
        <v>11.868927215831013</v>
      </c>
      <c r="U61" s="1424">
        <v>11.868927215831013</v>
      </c>
      <c r="V61" s="1424">
        <v>11.868927215831013</v>
      </c>
      <c r="W61" s="1424">
        <v>18.990283545329614</v>
      </c>
      <c r="X61" s="1424">
        <v>18.990283545329614</v>
      </c>
      <c r="Y61" s="1424">
        <v>23.737854431662026</v>
      </c>
      <c r="Z61" s="1424">
        <v>23.737854431662026</v>
      </c>
      <c r="AA61" s="1424">
        <v>23.737854431662026</v>
      </c>
      <c r="AB61" s="1424">
        <v>35.60678164749303</v>
      </c>
      <c r="AC61" s="1424">
        <v>35.60678164749303</v>
      </c>
      <c r="AD61" s="1424">
        <v>0</v>
      </c>
      <c r="AE61" s="1424">
        <v>0</v>
      </c>
      <c r="AF61" s="1424">
        <v>0</v>
      </c>
      <c r="AG61" s="1424">
        <v>0</v>
      </c>
      <c r="AH61" s="1424">
        <v>0</v>
      </c>
      <c r="AI61" s="1424">
        <v>0</v>
      </c>
      <c r="AJ61" s="1424">
        <v>0</v>
      </c>
      <c r="AK61" s="1424">
        <v>0</v>
      </c>
      <c r="AL61" s="1424">
        <v>0</v>
      </c>
      <c r="AM61" s="1424">
        <v>0</v>
      </c>
      <c r="AN61" s="1424">
        <v>0.12703175396761518</v>
      </c>
      <c r="AO61" s="1424">
        <v>0.25406350793523036</v>
      </c>
      <c r="AP61" s="1424">
        <v>0.25406350793523036</v>
      </c>
      <c r="AQ61" s="1424">
        <v>0.25406350793523036</v>
      </c>
      <c r="AR61" s="1424">
        <v>0.25406350793523036</v>
      </c>
      <c r="AS61" s="1424">
        <v>0.63515876983807595</v>
      </c>
      <c r="AT61" s="1424">
        <v>0.63515876983807595</v>
      </c>
      <c r="AU61" s="1424">
        <v>0.63515876983807595</v>
      </c>
      <c r="AV61" s="1424">
        <v>1.0162540317409214</v>
      </c>
      <c r="AW61" s="1424">
        <v>1.0162540317409214</v>
      </c>
      <c r="AX61" s="1424">
        <v>1.2703175396761519</v>
      </c>
      <c r="AY61" s="1424">
        <v>1.2703175396761519</v>
      </c>
      <c r="AZ61" s="1424">
        <v>1.2703175396761519</v>
      </c>
      <c r="BA61" s="1424">
        <v>1.9054763095142278</v>
      </c>
      <c r="BB61" s="1424">
        <v>1.9054763095142278</v>
      </c>
      <c r="BC61" s="1424">
        <v>0.28066330367131437</v>
      </c>
      <c r="BD61" s="1424">
        <v>0.56132660734262874</v>
      </c>
      <c r="BE61" s="1424">
        <v>0.56132660734262874</v>
      </c>
      <c r="BF61" s="1424">
        <v>0.56132660734262874</v>
      </c>
      <c r="BG61" s="1424">
        <v>0.56132660734262874</v>
      </c>
      <c r="BH61" s="1424">
        <v>1.4033165183565719</v>
      </c>
      <c r="BI61" s="1424">
        <v>1.4033165183565719</v>
      </c>
      <c r="BJ61" s="1424">
        <v>1.4033165183565719</v>
      </c>
      <c r="BK61" s="1424">
        <v>2.2453064293705149</v>
      </c>
      <c r="BL61" s="1424">
        <v>2.2453064293705149</v>
      </c>
      <c r="BM61" s="1424">
        <v>2.9336647906807594</v>
      </c>
      <c r="BN61" s="1424">
        <v>3.060696544648374</v>
      </c>
      <c r="BO61" s="1424">
        <v>3.060696544648374</v>
      </c>
      <c r="BP61" s="1424">
        <v>4.4640130630049466</v>
      </c>
      <c r="BQ61" s="1424">
        <v>4.4640130630049466</v>
      </c>
      <c r="BR61" s="1424">
        <v>0.63515876983807595</v>
      </c>
      <c r="BS61" s="1424">
        <v>0.63515876983807595</v>
      </c>
      <c r="BT61" s="1424">
        <v>0.63515876983807595</v>
      </c>
      <c r="BU61" s="1424">
        <v>1.0162540317409214</v>
      </c>
      <c r="BV61" s="1424">
        <v>1.0162540317409214</v>
      </c>
      <c r="BW61" s="1424">
        <v>1.2703175396761519</v>
      </c>
      <c r="BX61" s="1424">
        <v>1.2703175396761519</v>
      </c>
      <c r="BY61" s="1424">
        <v>1.2703175396761519</v>
      </c>
      <c r="BZ61" s="1424">
        <v>1.9054763095142278</v>
      </c>
      <c r="CA61" s="1424">
        <v>1.9054763095142278</v>
      </c>
      <c r="CB61" s="1424">
        <v>0</v>
      </c>
      <c r="CC61" s="1424">
        <v>0</v>
      </c>
      <c r="CD61" s="1424">
        <v>0</v>
      </c>
      <c r="CE61" s="1424">
        <v>0</v>
      </c>
      <c r="CF61" s="1424">
        <v>0</v>
      </c>
      <c r="CG61" s="1424">
        <v>0</v>
      </c>
      <c r="CH61" s="1424">
        <v>0</v>
      </c>
      <c r="CI61" s="1424">
        <v>0</v>
      </c>
      <c r="CJ61" s="1424">
        <v>0</v>
      </c>
      <c r="CK61" s="1424">
        <v>0</v>
      </c>
      <c r="CL61" s="1424">
        <v>0.12703175396761518</v>
      </c>
      <c r="CM61" s="1424">
        <v>0.25406350793523036</v>
      </c>
      <c r="CN61" s="1424">
        <v>0.25406350793523036</v>
      </c>
      <c r="CO61" s="1424">
        <v>0.25406350793523036</v>
      </c>
      <c r="CP61" s="1425">
        <v>0.25406350793523036</v>
      </c>
    </row>
    <row r="62" spans="2:94" ht="30" customHeight="1" x14ac:dyDescent="0.3">
      <c r="B62" s="1729"/>
      <c r="C62" s="1446" t="s">
        <v>1339</v>
      </c>
      <c r="D62" s="1446" t="s">
        <v>1159</v>
      </c>
      <c r="E62" s="1260" t="s">
        <v>1317</v>
      </c>
      <c r="F62" s="1287"/>
      <c r="G62" s="1287"/>
      <c r="H62" s="1264" t="s">
        <v>1318</v>
      </c>
      <c r="I62" s="1261"/>
      <c r="J62" s="1259"/>
      <c r="K62" s="1259"/>
      <c r="L62" s="1259"/>
      <c r="M62" s="1259"/>
      <c r="N62" s="1426"/>
      <c r="O62" s="1427">
        <v>0</v>
      </c>
      <c r="P62" s="1427">
        <v>0</v>
      </c>
      <c r="Q62" s="1427">
        <v>0</v>
      </c>
      <c r="R62" s="1427">
        <v>0</v>
      </c>
      <c r="S62" s="1427">
        <v>0</v>
      </c>
      <c r="T62" s="1427">
        <v>0</v>
      </c>
      <c r="U62" s="1427">
        <v>0</v>
      </c>
      <c r="V62" s="1427">
        <v>0</v>
      </c>
      <c r="W62" s="1427">
        <v>0</v>
      </c>
      <c r="X62" s="1427">
        <v>0</v>
      </c>
      <c r="Y62" s="1427">
        <v>0</v>
      </c>
      <c r="Z62" s="1427">
        <v>0</v>
      </c>
      <c r="AA62" s="1427">
        <v>0</v>
      </c>
      <c r="AB62" s="1427">
        <v>0</v>
      </c>
      <c r="AC62" s="1427">
        <v>0</v>
      </c>
      <c r="AD62" s="1427">
        <v>1.192455646684943</v>
      </c>
      <c r="AE62" s="1427">
        <v>1.192455646684943</v>
      </c>
      <c r="AF62" s="1427">
        <v>1.192455646684943</v>
      </c>
      <c r="AG62" s="1427">
        <v>1.192455646684943</v>
      </c>
      <c r="AH62" s="1427">
        <v>1.192455646684943</v>
      </c>
      <c r="AI62" s="1427">
        <v>1.192455646684943</v>
      </c>
      <c r="AJ62" s="1427">
        <v>1.192455646684943</v>
      </c>
      <c r="AK62" s="1427">
        <v>1.192455646684943</v>
      </c>
      <c r="AL62" s="1427">
        <v>1.192455646684943</v>
      </c>
      <c r="AM62" s="1427">
        <v>1.192455646684943</v>
      </c>
      <c r="AN62" s="1427">
        <v>1.192455646684943</v>
      </c>
      <c r="AO62" s="1427">
        <v>1.192455646684943</v>
      </c>
      <c r="AP62" s="1427">
        <v>1.192455646684943</v>
      </c>
      <c r="AQ62" s="1427">
        <v>1.192455646684943</v>
      </c>
      <c r="AR62" s="1427">
        <v>1.192455646684943</v>
      </c>
      <c r="AS62" s="1427">
        <v>1.192455646684943</v>
      </c>
      <c r="AT62" s="1427">
        <v>1.192455646684943</v>
      </c>
      <c r="AU62" s="1427">
        <v>1.192455646684943</v>
      </c>
      <c r="AV62" s="1427">
        <v>1.192455646684943</v>
      </c>
      <c r="AW62" s="1427">
        <v>1.192455646684943</v>
      </c>
      <c r="AX62" s="1427">
        <v>1.192455646684943</v>
      </c>
      <c r="AY62" s="1427">
        <v>1.192455646684943</v>
      </c>
      <c r="AZ62" s="1427">
        <v>1.192455646684943</v>
      </c>
      <c r="BA62" s="1427">
        <v>1.192455646684943</v>
      </c>
      <c r="BB62" s="1427">
        <v>1.192455646684943</v>
      </c>
      <c r="BC62" s="1427">
        <v>1.192455646684943</v>
      </c>
      <c r="BD62" s="1427">
        <v>1.192455646684943</v>
      </c>
      <c r="BE62" s="1427">
        <v>1.192455646684943</v>
      </c>
      <c r="BF62" s="1427">
        <v>1.192455646684943</v>
      </c>
      <c r="BG62" s="1427">
        <v>1.192455646684943</v>
      </c>
      <c r="BH62" s="1427">
        <v>1.192455646684943</v>
      </c>
      <c r="BI62" s="1427">
        <v>1.192455646684943</v>
      </c>
      <c r="BJ62" s="1427">
        <v>1.192455646684943</v>
      </c>
      <c r="BK62" s="1427">
        <v>1.192455646684943</v>
      </c>
      <c r="BL62" s="1427">
        <v>1.192455646684943</v>
      </c>
      <c r="BM62" s="1427">
        <v>1.192455646684943</v>
      </c>
      <c r="BN62" s="1427">
        <v>1.192455646684943</v>
      </c>
      <c r="BO62" s="1427">
        <v>1.192455646684943</v>
      </c>
      <c r="BP62" s="1427">
        <v>1.192455646684943</v>
      </c>
      <c r="BQ62" s="1427">
        <v>1.192455646684943</v>
      </c>
      <c r="BR62" s="1427">
        <v>1.192455646684943</v>
      </c>
      <c r="BS62" s="1427">
        <v>1.192455646684943</v>
      </c>
      <c r="BT62" s="1427">
        <v>1.192455646684943</v>
      </c>
      <c r="BU62" s="1427">
        <v>1.192455646684943</v>
      </c>
      <c r="BV62" s="1427">
        <v>1.192455646684943</v>
      </c>
      <c r="BW62" s="1427">
        <v>1.192455646684943</v>
      </c>
      <c r="BX62" s="1427">
        <v>1.192455646684943</v>
      </c>
      <c r="BY62" s="1427">
        <v>1.192455646684943</v>
      </c>
      <c r="BZ62" s="1427">
        <v>1.192455646684943</v>
      </c>
      <c r="CA62" s="1427">
        <v>1.192455646684943</v>
      </c>
      <c r="CB62" s="1427">
        <v>1.192455646684943</v>
      </c>
      <c r="CC62" s="1427">
        <v>1.192455646684943</v>
      </c>
      <c r="CD62" s="1427">
        <v>1.192455646684943</v>
      </c>
      <c r="CE62" s="1427">
        <v>1.192455646684943</v>
      </c>
      <c r="CF62" s="1427">
        <v>1.192455646684943</v>
      </c>
      <c r="CG62" s="1427">
        <v>1.192455646684943</v>
      </c>
      <c r="CH62" s="1427">
        <v>1.192455646684943</v>
      </c>
      <c r="CI62" s="1427">
        <v>1.192455646684943</v>
      </c>
      <c r="CJ62" s="1427">
        <v>1.192455646684943</v>
      </c>
      <c r="CK62" s="1427">
        <v>1.192455646684943</v>
      </c>
      <c r="CL62" s="1427">
        <v>1.192455646684943</v>
      </c>
      <c r="CM62" s="1427">
        <v>1.192455646684943</v>
      </c>
      <c r="CN62" s="1427">
        <v>1.192455646684943</v>
      </c>
      <c r="CO62" s="1427">
        <v>1.192455646684943</v>
      </c>
      <c r="CP62" s="1428">
        <v>1.192455646684943</v>
      </c>
    </row>
    <row r="63" spans="2:94" ht="30" customHeight="1" x14ac:dyDescent="0.3">
      <c r="B63" s="1729"/>
      <c r="C63" s="1446" t="s">
        <v>1339</v>
      </c>
      <c r="D63" s="1446" t="s">
        <v>1159</v>
      </c>
      <c r="E63" s="1260" t="s">
        <v>1319</v>
      </c>
      <c r="F63" s="1287"/>
      <c r="G63" s="1287"/>
      <c r="H63" s="1264" t="s">
        <v>1318</v>
      </c>
      <c r="I63" s="1261"/>
      <c r="J63" s="1259"/>
      <c r="K63" s="1259"/>
      <c r="L63" s="1259"/>
      <c r="M63" s="1259"/>
      <c r="N63" s="1426"/>
      <c r="O63" s="1427">
        <v>0.10545307736451563</v>
      </c>
      <c r="P63" s="1427">
        <v>0.31528835180251524</v>
      </c>
      <c r="Q63" s="1427">
        <v>0.52298186565845151</v>
      </c>
      <c r="R63" s="1427">
        <v>0.72853361893232427</v>
      </c>
      <c r="S63" s="1427">
        <v>0.93194361162413386</v>
      </c>
      <c r="T63" s="1427">
        <v>1.4495710758274269</v>
      </c>
      <c r="U63" s="1427">
        <v>1.9618441385755616</v>
      </c>
      <c r="V63" s="1427">
        <v>2.468762799868538</v>
      </c>
      <c r="W63" s="1427">
        <v>3.2866862917999025</v>
      </c>
      <c r="X63" s="1427">
        <v>4.0960427414030143</v>
      </c>
      <c r="Y63" s="1427">
        <v>5.1077383034069026</v>
      </c>
      <c r="Z63" s="1427">
        <v>6.1087250625004748</v>
      </c>
      <c r="AA63" s="1427">
        <v>7.0990030186837298</v>
      </c>
      <c r="AB63" s="1427">
        <v>8.6058375587792462</v>
      </c>
      <c r="AC63" s="1427">
        <v>10.096608894509288</v>
      </c>
      <c r="AD63" s="1427">
        <v>9.9895208654061189</v>
      </c>
      <c r="AE63" s="1427">
        <v>9.8824328363029466</v>
      </c>
      <c r="AF63" s="1427">
        <v>9.7753448071997813</v>
      </c>
      <c r="AG63" s="1427">
        <v>9.6682567780966089</v>
      </c>
      <c r="AH63" s="1427">
        <v>9.5611687489934418</v>
      </c>
      <c r="AI63" s="1427">
        <v>9.454080719890273</v>
      </c>
      <c r="AJ63" s="1427">
        <v>9.3469926907871042</v>
      </c>
      <c r="AK63" s="1427">
        <v>9.2399046616839335</v>
      </c>
      <c r="AL63" s="1427">
        <v>9.1328166325807647</v>
      </c>
      <c r="AM63" s="1427">
        <v>9.0257286034775959</v>
      </c>
      <c r="AN63" s="1427">
        <v>8.9223499015902821</v>
      </c>
      <c r="AO63" s="1427">
        <v>8.8226805269188198</v>
      </c>
      <c r="AP63" s="1427">
        <v>8.7230111522473592</v>
      </c>
      <c r="AQ63" s="1427">
        <v>8.6233417775758987</v>
      </c>
      <c r="AR63" s="1427">
        <v>8.5236724029044382</v>
      </c>
      <c r="AS63" s="1427">
        <v>8.435131009880541</v>
      </c>
      <c r="AT63" s="1427">
        <v>8.3465896168566456</v>
      </c>
      <c r="AU63" s="1427">
        <v>8.2580482238327484</v>
      </c>
      <c r="AV63" s="1427">
        <v>8.1806348124564146</v>
      </c>
      <c r="AW63" s="1427">
        <v>8.1032214010800789</v>
      </c>
      <c r="AX63" s="1427">
        <v>8.0332266441354534</v>
      </c>
      <c r="AY63" s="1427">
        <v>7.913161051046953</v>
      </c>
      <c r="AZ63" s="1427">
        <v>7.7945791888447928</v>
      </c>
      <c r="BA63" s="1427">
        <v>7.6960276936082481</v>
      </c>
      <c r="BB63" s="1427">
        <v>7.5739245111861084</v>
      </c>
      <c r="BC63" s="1427">
        <v>7.4066023853228673</v>
      </c>
      <c r="BD63" s="1427">
        <v>7.3248074784721542</v>
      </c>
      <c r="BE63" s="1427">
        <v>7.2430125716214411</v>
      </c>
      <c r="BF63" s="1427">
        <v>7.1612176647707262</v>
      </c>
      <c r="BG63" s="1427">
        <v>7.0794227579200131</v>
      </c>
      <c r="BH63" s="1427">
        <v>7.0222139564709067</v>
      </c>
      <c r="BI63" s="1427">
        <v>6.9650051550218004</v>
      </c>
      <c r="BJ63" s="1427">
        <v>6.9077963535726941</v>
      </c>
      <c r="BK63" s="1427">
        <v>6.8751736575251954</v>
      </c>
      <c r="BL63" s="1427">
        <v>6.8425509614776958</v>
      </c>
      <c r="BM63" s="1427">
        <v>6.8300283295804567</v>
      </c>
      <c r="BN63" s="1427">
        <v>6.8212150248990699</v>
      </c>
      <c r="BO63" s="1427">
        <v>6.8124017202176859</v>
      </c>
      <c r="BP63" s="1427">
        <v>6.8445652578723104</v>
      </c>
      <c r="BQ63" s="1427">
        <v>6.8767287955269367</v>
      </c>
      <c r="BR63" s="1427">
        <v>6.7970897878210899</v>
      </c>
      <c r="BS63" s="1427">
        <v>6.7174507801152448</v>
      </c>
      <c r="BT63" s="1427">
        <v>6.637811772409397</v>
      </c>
      <c r="BU63" s="1427">
        <v>6.5693007463511144</v>
      </c>
      <c r="BV63" s="1427">
        <v>6.5007897202928318</v>
      </c>
      <c r="BW63" s="1427">
        <v>6.4897681848101314</v>
      </c>
      <c r="BX63" s="1427">
        <v>6.4772629184410908</v>
      </c>
      <c r="BY63" s="1427">
        <v>6.4632739211857082</v>
      </c>
      <c r="BZ63" s="1427">
        <v>6.4913832471951922</v>
      </c>
      <c r="CA63" s="1427">
        <v>6.5172669768751641</v>
      </c>
      <c r="CB63" s="1427">
        <v>6.4101789477719953</v>
      </c>
      <c r="CC63" s="1427">
        <v>6.3030909186688264</v>
      </c>
      <c r="CD63" s="1427">
        <v>6.1960028895656576</v>
      </c>
      <c r="CE63" s="1427">
        <v>6.0889148604624879</v>
      </c>
      <c r="CF63" s="1427">
        <v>5.9818268313593199</v>
      </c>
      <c r="CG63" s="1427">
        <v>5.8747388022561511</v>
      </c>
      <c r="CH63" s="1427">
        <v>5.7676507731529822</v>
      </c>
      <c r="CI63" s="1427">
        <v>5.6605627440498134</v>
      </c>
      <c r="CJ63" s="1427">
        <v>5.5534747149466437</v>
      </c>
      <c r="CK63" s="1427">
        <v>5.4463866858434757</v>
      </c>
      <c r="CL63" s="1427">
        <v>5.3430079839561602</v>
      </c>
      <c r="CM63" s="1427">
        <v>5.2433386092846996</v>
      </c>
      <c r="CN63" s="1427">
        <v>5.14366923461324</v>
      </c>
      <c r="CO63" s="1427">
        <v>5.0439998599417795</v>
      </c>
      <c r="CP63" s="1428">
        <v>4.9443304852703198</v>
      </c>
    </row>
    <row r="64" spans="2:94" ht="30" customHeight="1" x14ac:dyDescent="0.3">
      <c r="B64" s="1729"/>
      <c r="C64" s="1446" t="s">
        <v>1339</v>
      </c>
      <c r="D64" s="1446" t="s">
        <v>1159</v>
      </c>
      <c r="E64" s="1260" t="s">
        <v>1320</v>
      </c>
      <c r="F64" s="1287"/>
      <c r="G64" s="1287"/>
      <c r="H64" s="1264" t="s">
        <v>1318</v>
      </c>
      <c r="I64" s="1261"/>
      <c r="J64" s="1259"/>
      <c r="K64" s="1259"/>
      <c r="L64" s="1259"/>
      <c r="M64" s="1259"/>
      <c r="N64" s="1426"/>
      <c r="O64" s="1427"/>
      <c r="P64" s="1427">
        <v>3.5000000000000003E-2</v>
      </c>
      <c r="Q64" s="1427">
        <v>3.5000000000000003E-2</v>
      </c>
      <c r="R64" s="1427">
        <v>3.5000000000000003E-2</v>
      </c>
      <c r="S64" s="1427">
        <v>3.5000000000000003E-2</v>
      </c>
      <c r="T64" s="1427">
        <v>3.5000000000000003E-2</v>
      </c>
      <c r="U64" s="1427">
        <v>3.5000000000000003E-2</v>
      </c>
      <c r="V64" s="1427">
        <v>3.5000000000000003E-2</v>
      </c>
      <c r="W64" s="1427">
        <v>3.5000000000000003E-2</v>
      </c>
      <c r="X64" s="1427">
        <v>3.5000000000000003E-2</v>
      </c>
      <c r="Y64" s="1427">
        <v>3.5000000000000003E-2</v>
      </c>
      <c r="Z64" s="1427">
        <v>3.5000000000000003E-2</v>
      </c>
      <c r="AA64" s="1427">
        <v>3.5000000000000003E-2</v>
      </c>
      <c r="AB64" s="1427">
        <v>3.5000000000000003E-2</v>
      </c>
      <c r="AC64" s="1427">
        <v>3.5000000000000003E-2</v>
      </c>
      <c r="AD64" s="1427">
        <v>3.5000000000000003E-2</v>
      </c>
      <c r="AE64" s="1427">
        <v>3.5000000000000003E-2</v>
      </c>
      <c r="AF64" s="1427">
        <v>3.5000000000000003E-2</v>
      </c>
      <c r="AG64" s="1427">
        <v>3.5000000000000003E-2</v>
      </c>
      <c r="AH64" s="1427">
        <v>3.5000000000000003E-2</v>
      </c>
      <c r="AI64" s="1427">
        <v>3.5000000000000003E-2</v>
      </c>
      <c r="AJ64" s="1427">
        <v>3.5000000000000003E-2</v>
      </c>
      <c r="AK64" s="1427">
        <v>3.5000000000000003E-2</v>
      </c>
      <c r="AL64" s="1427">
        <v>3.5000000000000003E-2</v>
      </c>
      <c r="AM64" s="1427">
        <v>3.5000000000000003E-2</v>
      </c>
      <c r="AN64" s="1427">
        <v>3.5000000000000003E-2</v>
      </c>
      <c r="AO64" s="1427">
        <v>3.5000000000000003E-2</v>
      </c>
      <c r="AP64" s="1427">
        <v>3.5000000000000003E-2</v>
      </c>
      <c r="AQ64" s="1427">
        <v>3.5000000000000003E-2</v>
      </c>
      <c r="AR64" s="1427">
        <v>3.5000000000000003E-2</v>
      </c>
      <c r="AS64" s="1427">
        <v>0.03</v>
      </c>
      <c r="AT64" s="1427">
        <v>0.03</v>
      </c>
      <c r="AU64" s="1427">
        <v>0.03</v>
      </c>
      <c r="AV64" s="1427">
        <v>0.03</v>
      </c>
      <c r="AW64" s="1427">
        <v>0.03</v>
      </c>
      <c r="AX64" s="1427">
        <v>0.03</v>
      </c>
      <c r="AY64" s="1427">
        <v>0.03</v>
      </c>
      <c r="AZ64" s="1427">
        <v>0.03</v>
      </c>
      <c r="BA64" s="1427">
        <v>0.03</v>
      </c>
      <c r="BB64" s="1427">
        <v>0.03</v>
      </c>
      <c r="BC64" s="1427">
        <v>0.03</v>
      </c>
      <c r="BD64" s="1427">
        <v>0.03</v>
      </c>
      <c r="BE64" s="1427">
        <v>0.03</v>
      </c>
      <c r="BF64" s="1427">
        <v>0.03</v>
      </c>
      <c r="BG64" s="1427">
        <v>0.03</v>
      </c>
      <c r="BH64" s="1427">
        <v>0.03</v>
      </c>
      <c r="BI64" s="1427">
        <v>0.03</v>
      </c>
      <c r="BJ64" s="1427">
        <v>0.03</v>
      </c>
      <c r="BK64" s="1427">
        <v>0.03</v>
      </c>
      <c r="BL64" s="1427">
        <v>0.03</v>
      </c>
      <c r="BM64" s="1427">
        <v>0.03</v>
      </c>
      <c r="BN64" s="1427">
        <v>0.03</v>
      </c>
      <c r="BO64" s="1427">
        <v>0.03</v>
      </c>
      <c r="BP64" s="1427">
        <v>0.03</v>
      </c>
      <c r="BQ64" s="1427">
        <v>0.03</v>
      </c>
      <c r="BR64" s="1427">
        <v>0.03</v>
      </c>
      <c r="BS64" s="1427">
        <v>0.03</v>
      </c>
      <c r="BT64" s="1427">
        <v>0.03</v>
      </c>
      <c r="BU64" s="1427">
        <v>0.03</v>
      </c>
      <c r="BV64" s="1427">
        <v>0.03</v>
      </c>
      <c r="BW64" s="1427">
        <v>0.03</v>
      </c>
      <c r="BX64" s="1427">
        <v>0.03</v>
      </c>
      <c r="BY64" s="1427">
        <v>0.03</v>
      </c>
      <c r="BZ64" s="1427">
        <v>0.03</v>
      </c>
      <c r="CA64" s="1427">
        <v>0.03</v>
      </c>
      <c r="CB64" s="1427">
        <v>0.03</v>
      </c>
      <c r="CC64" s="1427">
        <v>0.03</v>
      </c>
      <c r="CD64" s="1427">
        <v>0.03</v>
      </c>
      <c r="CE64" s="1427">
        <v>0.03</v>
      </c>
      <c r="CF64" s="1427">
        <v>0.03</v>
      </c>
      <c r="CG64" s="1427">
        <v>0.03</v>
      </c>
      <c r="CH64" s="1427">
        <v>0.03</v>
      </c>
      <c r="CI64" s="1427">
        <v>0.03</v>
      </c>
      <c r="CJ64" s="1427">
        <v>0.03</v>
      </c>
      <c r="CK64" s="1427">
        <v>0.03</v>
      </c>
      <c r="CL64" s="1427">
        <v>2.5000000000000001E-2</v>
      </c>
      <c r="CM64" s="1427">
        <v>2.5000000000000001E-2</v>
      </c>
      <c r="CN64" s="1427">
        <v>2.5000000000000001E-2</v>
      </c>
      <c r="CO64" s="1427">
        <v>2.5000000000000001E-2</v>
      </c>
      <c r="CP64" s="1428">
        <v>2.5000000000000001E-2</v>
      </c>
    </row>
    <row r="65" spans="2:94" ht="30" customHeight="1" x14ac:dyDescent="0.3">
      <c r="B65" s="1729"/>
      <c r="C65" s="1446" t="s">
        <v>1339</v>
      </c>
      <c r="D65" s="1446" t="s">
        <v>1159</v>
      </c>
      <c r="E65" s="1260" t="s">
        <v>1321</v>
      </c>
      <c r="F65" s="1287"/>
      <c r="G65" s="1287"/>
      <c r="H65" s="1264" t="s">
        <v>1318</v>
      </c>
      <c r="I65" s="1261"/>
      <c r="J65" s="1259"/>
      <c r="K65" s="1259"/>
      <c r="L65" s="1259"/>
      <c r="M65" s="1259"/>
      <c r="N65" s="1426"/>
      <c r="O65" s="1427">
        <v>1</v>
      </c>
      <c r="P65" s="1427">
        <v>0.96618357487922713</v>
      </c>
      <c r="Q65" s="1427">
        <v>0.93351070036640305</v>
      </c>
      <c r="R65" s="1427">
        <v>0.90194270566802237</v>
      </c>
      <c r="S65" s="1427">
        <v>0.87144222769857238</v>
      </c>
      <c r="T65" s="1427">
        <v>0.84197316685852408</v>
      </c>
      <c r="U65" s="1427">
        <v>0.81350064430775282</v>
      </c>
      <c r="V65" s="1427">
        <v>0.78599096068381924</v>
      </c>
      <c r="W65" s="1427">
        <v>0.75941155621625056</v>
      </c>
      <c r="X65" s="1427">
        <v>0.73373097218961414</v>
      </c>
      <c r="Y65" s="1427">
        <v>0.70891881370977217</v>
      </c>
      <c r="Z65" s="1427">
        <v>0.68494571372924851</v>
      </c>
      <c r="AA65" s="1427">
        <v>0.66178329828912907</v>
      </c>
      <c r="AB65" s="1427">
        <v>0.63940415293635666</v>
      </c>
      <c r="AC65" s="1427">
        <v>0.61778179027667313</v>
      </c>
      <c r="AD65" s="1427">
        <v>0.59689061862480497</v>
      </c>
      <c r="AE65" s="1427">
        <v>0.57670591171478747</v>
      </c>
      <c r="AF65" s="1427">
        <v>0.55720377943457733</v>
      </c>
      <c r="AG65" s="1427">
        <v>0.53836113955031628</v>
      </c>
      <c r="AH65" s="1427">
        <v>0.520155690386779</v>
      </c>
      <c r="AI65" s="1427">
        <v>0.50256588443167061</v>
      </c>
      <c r="AJ65" s="1427">
        <v>0.48557090283253201</v>
      </c>
      <c r="AK65" s="1427">
        <v>0.46915063075606961</v>
      </c>
      <c r="AL65" s="1427">
        <v>0.45328563358074364</v>
      </c>
      <c r="AM65" s="1427">
        <v>0.43795713389443836</v>
      </c>
      <c r="AN65" s="1427">
        <v>0.42314698926998878</v>
      </c>
      <c r="AO65" s="1427">
        <v>0.40883767079225974</v>
      </c>
      <c r="AP65" s="1427">
        <v>0.39501224231136212</v>
      </c>
      <c r="AQ65" s="1427">
        <v>0.38165434039745133</v>
      </c>
      <c r="AR65" s="1427">
        <v>0.36874815497338298</v>
      </c>
      <c r="AS65" s="1427">
        <v>0.35800791744988636</v>
      </c>
      <c r="AT65" s="1427">
        <v>0.34758050237853044</v>
      </c>
      <c r="AU65" s="1427">
        <v>0.33745679842575771</v>
      </c>
      <c r="AV65" s="1427">
        <v>0.32762795963665797</v>
      </c>
      <c r="AW65" s="1427">
        <v>0.31808539770549316</v>
      </c>
      <c r="AX65" s="1427">
        <v>0.30882077447135259</v>
      </c>
      <c r="AY65" s="1427">
        <v>0.29982599463238113</v>
      </c>
      <c r="AZ65" s="1427">
        <v>0.29109319867221467</v>
      </c>
      <c r="BA65" s="1427">
        <v>0.2826147559924414</v>
      </c>
      <c r="BB65" s="1427">
        <v>0.27438325824508875</v>
      </c>
      <c r="BC65" s="1427">
        <v>0.26639151285930945</v>
      </c>
      <c r="BD65" s="1427">
        <v>0.25863253675661113</v>
      </c>
      <c r="BE65" s="1427">
        <v>0.25109955024913699</v>
      </c>
      <c r="BF65" s="1427">
        <v>0.24378597111566697</v>
      </c>
      <c r="BG65" s="1427">
        <v>0.23668540885016209</v>
      </c>
      <c r="BH65" s="1427">
        <v>0.22979165907782728</v>
      </c>
      <c r="BI65" s="1427">
        <v>0.22309869813381289</v>
      </c>
      <c r="BJ65" s="1427">
        <v>0.21660067779981834</v>
      </c>
      <c r="BK65" s="1427">
        <v>0.21029192019399839</v>
      </c>
      <c r="BL65" s="1427">
        <v>0.20416691280970717</v>
      </c>
      <c r="BM65" s="1427">
        <v>0.19822030369874483</v>
      </c>
      <c r="BN65" s="1427">
        <v>0.19244689679489788</v>
      </c>
      <c r="BO65" s="1427">
        <v>0.18684164737368725</v>
      </c>
      <c r="BP65" s="1427">
        <v>0.18139965764435656</v>
      </c>
      <c r="BQ65" s="1427">
        <v>0.17611617247024908</v>
      </c>
      <c r="BR65" s="1427">
        <v>0.17098657521383406</v>
      </c>
      <c r="BS65" s="1427">
        <v>0.1660063837027515</v>
      </c>
      <c r="BT65" s="1427">
        <v>0.16117124631335097</v>
      </c>
      <c r="BU65" s="1427">
        <v>0.15647693816830191</v>
      </c>
      <c r="BV65" s="1427">
        <v>0.1519193574449533</v>
      </c>
      <c r="BW65" s="1427">
        <v>0.1474945217912168</v>
      </c>
      <c r="BX65" s="1427">
        <v>0.14319856484584156</v>
      </c>
      <c r="BY65" s="1427">
        <v>0.13902773286004036</v>
      </c>
      <c r="BZ65" s="1427">
        <v>0.13497838141751492</v>
      </c>
      <c r="CA65" s="1427">
        <v>0.13104697225001449</v>
      </c>
      <c r="CB65" s="1427">
        <v>0.12723007014564514</v>
      </c>
      <c r="CC65" s="1427">
        <v>0.12352433994722828</v>
      </c>
      <c r="CD65" s="1427">
        <v>0.11992654363808571</v>
      </c>
      <c r="CE65" s="1427">
        <v>0.11643353751270456</v>
      </c>
      <c r="CF65" s="1427">
        <v>0.11304226942981026</v>
      </c>
      <c r="CG65" s="1427">
        <v>0.10974977614544684</v>
      </c>
      <c r="CH65" s="1427">
        <v>0.10655318072373479</v>
      </c>
      <c r="CI65" s="1427">
        <v>0.10344969002304348</v>
      </c>
      <c r="CJ65" s="1427">
        <v>0.10043659225538201</v>
      </c>
      <c r="CK65" s="1427">
        <v>9.7511254616875737E-2</v>
      </c>
      <c r="CL65" s="1427">
        <v>9.5132931333537313E-2</v>
      </c>
      <c r="CM65" s="1427">
        <v>9.2812615935158368E-2</v>
      </c>
      <c r="CN65" s="1427">
        <v>9.0548893595276458E-2</v>
      </c>
      <c r="CO65" s="1427">
        <v>8.834038399539168E-2</v>
      </c>
      <c r="CP65" s="1428">
        <v>8.6185740483308959E-2</v>
      </c>
    </row>
    <row r="66" spans="2:94" ht="30" customHeight="1" x14ac:dyDescent="0.3">
      <c r="B66" s="1729"/>
      <c r="C66" s="1446" t="s">
        <v>1339</v>
      </c>
      <c r="D66" s="1446" t="s">
        <v>1159</v>
      </c>
      <c r="E66" s="1260" t="s">
        <v>1322</v>
      </c>
      <c r="F66" s="1260" t="s">
        <v>1330</v>
      </c>
      <c r="G66" s="1260"/>
      <c r="H66" s="1260" t="s">
        <v>1324</v>
      </c>
      <c r="I66" s="1261"/>
      <c r="J66" s="1259"/>
      <c r="K66" s="1259"/>
      <c r="L66" s="1259"/>
      <c r="M66" s="1259"/>
      <c r="N66" s="1426"/>
      <c r="O66" s="1427"/>
      <c r="P66" s="1427"/>
      <c r="Q66" s="1427"/>
      <c r="R66" s="1427"/>
      <c r="S66" s="1427"/>
      <c r="T66" s="1427"/>
      <c r="U66" s="1427"/>
      <c r="V66" s="1427"/>
      <c r="W66" s="1427"/>
      <c r="X66" s="1427"/>
      <c r="Y66" s="1427"/>
      <c r="Z66" s="1427"/>
      <c r="AA66" s="1427"/>
      <c r="AB66" s="1427"/>
      <c r="AC66" s="1427"/>
      <c r="AD66" s="1427"/>
      <c r="AE66" s="1427"/>
      <c r="AF66" s="1427"/>
      <c r="AG66" s="1427"/>
      <c r="AH66" s="1427"/>
      <c r="AI66" s="1427"/>
      <c r="AJ66" s="1427"/>
      <c r="AK66" s="1427"/>
      <c r="AL66" s="1427"/>
      <c r="AM66" s="1427"/>
      <c r="AN66" s="1427"/>
      <c r="AO66" s="1427"/>
      <c r="AP66" s="1427"/>
      <c r="AQ66" s="1427"/>
      <c r="AR66" s="1427"/>
      <c r="AS66" s="1427"/>
      <c r="AT66" s="1427"/>
      <c r="AU66" s="1427"/>
      <c r="AV66" s="1427"/>
      <c r="AW66" s="1427"/>
      <c r="AX66" s="1427"/>
      <c r="AY66" s="1427"/>
      <c r="AZ66" s="1427"/>
      <c r="BA66" s="1427"/>
      <c r="BB66" s="1427"/>
      <c r="BC66" s="1427"/>
      <c r="BD66" s="1427"/>
      <c r="BE66" s="1427"/>
      <c r="BF66" s="1427"/>
      <c r="BG66" s="1427"/>
      <c r="BH66" s="1427"/>
      <c r="BI66" s="1427"/>
      <c r="BJ66" s="1427"/>
      <c r="BK66" s="1427"/>
      <c r="BL66" s="1427"/>
      <c r="BM66" s="1427"/>
      <c r="BN66" s="1427"/>
      <c r="BO66" s="1427"/>
      <c r="BP66" s="1427"/>
      <c r="BQ66" s="1427"/>
      <c r="BR66" s="1427"/>
      <c r="BS66" s="1427"/>
      <c r="BT66" s="1427"/>
      <c r="BU66" s="1427"/>
      <c r="BV66" s="1427"/>
      <c r="BW66" s="1427"/>
      <c r="BX66" s="1427"/>
      <c r="BY66" s="1427"/>
      <c r="BZ66" s="1427"/>
      <c r="CA66" s="1427"/>
      <c r="CB66" s="1427"/>
      <c r="CC66" s="1427"/>
      <c r="CD66" s="1427"/>
      <c r="CE66" s="1427"/>
      <c r="CF66" s="1427"/>
      <c r="CG66" s="1427"/>
      <c r="CH66" s="1427"/>
      <c r="CI66" s="1427"/>
      <c r="CJ66" s="1427"/>
      <c r="CK66" s="1427"/>
      <c r="CL66" s="1427"/>
      <c r="CM66" s="1427"/>
      <c r="CN66" s="1427"/>
      <c r="CO66" s="1427"/>
      <c r="CP66" s="1428"/>
    </row>
    <row r="67" spans="2:94" ht="30" customHeight="1" x14ac:dyDescent="0.3">
      <c r="B67" s="1729"/>
      <c r="C67" s="1446" t="s">
        <v>1339</v>
      </c>
      <c r="D67" s="1446" t="s">
        <v>1159</v>
      </c>
      <c r="E67" s="1264" t="s">
        <v>1322</v>
      </c>
      <c r="F67" s="1260" t="s">
        <v>1325</v>
      </c>
      <c r="G67" s="1260"/>
      <c r="H67" s="1285" t="s">
        <v>1324</v>
      </c>
      <c r="I67" s="1284"/>
      <c r="J67" s="1259"/>
      <c r="K67" s="1259"/>
      <c r="L67" s="1259"/>
      <c r="M67" s="1259"/>
      <c r="N67" s="1426"/>
      <c r="O67" s="1427"/>
      <c r="P67" s="1427"/>
      <c r="Q67" s="1427"/>
      <c r="R67" s="1427"/>
      <c r="S67" s="1427"/>
      <c r="T67" s="1427"/>
      <c r="U67" s="1427"/>
      <c r="V67" s="1427"/>
      <c r="W67" s="1427"/>
      <c r="X67" s="1427"/>
      <c r="Y67" s="1427"/>
      <c r="Z67" s="1427"/>
      <c r="AA67" s="1427"/>
      <c r="AB67" s="1427"/>
      <c r="AC67" s="1427"/>
      <c r="AD67" s="1427"/>
      <c r="AE67" s="1427"/>
      <c r="AF67" s="1427"/>
      <c r="AG67" s="1427"/>
      <c r="AH67" s="1427"/>
      <c r="AI67" s="1427"/>
      <c r="AJ67" s="1427"/>
      <c r="AK67" s="1427"/>
      <c r="AL67" s="1427"/>
      <c r="AM67" s="1427"/>
      <c r="AN67" s="1427"/>
      <c r="AO67" s="1427"/>
      <c r="AP67" s="1427"/>
      <c r="AQ67" s="1427"/>
      <c r="AR67" s="1427"/>
      <c r="AS67" s="1427"/>
      <c r="AT67" s="1427"/>
      <c r="AU67" s="1427"/>
      <c r="AV67" s="1427"/>
      <c r="AW67" s="1427"/>
      <c r="AX67" s="1427"/>
      <c r="AY67" s="1427"/>
      <c r="AZ67" s="1427"/>
      <c r="BA67" s="1427"/>
      <c r="BB67" s="1427"/>
      <c r="BC67" s="1427"/>
      <c r="BD67" s="1427"/>
      <c r="BE67" s="1427"/>
      <c r="BF67" s="1427"/>
      <c r="BG67" s="1427"/>
      <c r="BH67" s="1427"/>
      <c r="BI67" s="1427"/>
      <c r="BJ67" s="1427"/>
      <c r="BK67" s="1427"/>
      <c r="BL67" s="1427"/>
      <c r="BM67" s="1427"/>
      <c r="BN67" s="1427"/>
      <c r="BO67" s="1427"/>
      <c r="BP67" s="1427"/>
      <c r="BQ67" s="1427"/>
      <c r="BR67" s="1427"/>
      <c r="BS67" s="1427"/>
      <c r="BT67" s="1427"/>
      <c r="BU67" s="1427"/>
      <c r="BV67" s="1427"/>
      <c r="BW67" s="1427"/>
      <c r="BX67" s="1427"/>
      <c r="BY67" s="1427"/>
      <c r="BZ67" s="1427"/>
      <c r="CA67" s="1427"/>
      <c r="CB67" s="1427"/>
      <c r="CC67" s="1427"/>
      <c r="CD67" s="1427"/>
      <c r="CE67" s="1427"/>
      <c r="CF67" s="1427"/>
      <c r="CG67" s="1427"/>
      <c r="CH67" s="1427"/>
      <c r="CI67" s="1427"/>
      <c r="CJ67" s="1427"/>
      <c r="CK67" s="1427"/>
      <c r="CL67" s="1427"/>
      <c r="CM67" s="1427"/>
      <c r="CN67" s="1427"/>
      <c r="CO67" s="1427"/>
      <c r="CP67" s="1428"/>
    </row>
    <row r="68" spans="2:94" s="1278" customFormat="1" ht="30" customHeight="1" thickBot="1" x14ac:dyDescent="0.35">
      <c r="B68" s="1729"/>
      <c r="C68" s="1446" t="s">
        <v>1339</v>
      </c>
      <c r="D68" s="1446" t="s">
        <v>1159</v>
      </c>
      <c r="E68" s="1280" t="s">
        <v>1326</v>
      </c>
      <c r="F68" s="1279"/>
      <c r="G68" s="1279"/>
      <c r="H68" s="1279" t="s">
        <v>163</v>
      </c>
      <c r="I68" s="1283"/>
      <c r="J68" s="1282"/>
      <c r="K68" s="1282"/>
      <c r="L68" s="1282"/>
      <c r="M68" s="1282"/>
      <c r="N68" s="1434" t="str">
        <f>IF((N62+N63)*N65&lt;&gt;0,(N62+N63)*N65,"")</f>
        <v/>
      </c>
      <c r="O68" s="1435">
        <v>0.1054530766504686</v>
      </c>
      <c r="P68" s="1435">
        <v>0.30462642480305091</v>
      </c>
      <c r="Q68" s="1435">
        <v>0.48820916439716266</v>
      </c>
      <c r="R68" s="1435">
        <v>0.65709557900926541</v>
      </c>
      <c r="S68" s="1435">
        <v>0.8121350115532876</v>
      </c>
      <c r="T68" s="1435">
        <v>1.2204999411110047</v>
      </c>
      <c r="U68" s="1435">
        <v>1.5959614600680561</v>
      </c>
      <c r="V68" s="1435">
        <v>1.9404252317911144</v>
      </c>
      <c r="W68" s="1435">
        <v>2.4959475349697149</v>
      </c>
      <c r="X68" s="1435">
        <v>3.0053934027251024</v>
      </c>
      <c r="Y68" s="1435">
        <v>3.6209717546583966</v>
      </c>
      <c r="Z68" s="1435">
        <v>4.1841450200719033</v>
      </c>
      <c r="AA68" s="1435">
        <v>4.6980016010748997</v>
      </c>
      <c r="AB68" s="1435">
        <v>5.5026082380740817</v>
      </c>
      <c r="AC68" s="1435">
        <v>6.2375010772521344</v>
      </c>
      <c r="AD68" s="1435">
        <v>6.6744168384698757</v>
      </c>
      <c r="AE68" s="1435">
        <v>6.3869536223911449</v>
      </c>
      <c r="AF68" s="1435">
        <v>6.1112998295220855</v>
      </c>
      <c r="AG68" s="1435">
        <v>5.8469854836468249</v>
      </c>
      <c r="AH68" s="1435">
        <v>5.593558889707432</v>
      </c>
      <c r="AI68" s="1435">
        <v>5.3505859348386746</v>
      </c>
      <c r="AJ68" s="1435">
        <v>5.1176494157703791</v>
      </c>
      <c r="AK68" s="1435">
        <v>4.8943483916133479</v>
      </c>
      <c r="AL68" s="1435">
        <v>4.6802975610812405</v>
      </c>
      <c r="AM68" s="1435">
        <v>4.4751266632358471</v>
      </c>
      <c r="AN68" s="1435">
        <v>4.2800494914116305</v>
      </c>
      <c r="AO68" s="1435">
        <v>4.0945649235123991</v>
      </c>
      <c r="AP68" s="1435">
        <v>3.9167307524180597</v>
      </c>
      <c r="AQ68" s="1435">
        <v>3.7462416709776036</v>
      </c>
      <c r="AR68" s="1435">
        <v>3.5828042722169307</v>
      </c>
      <c r="AS68" s="1435">
        <v>3.4467522299256403</v>
      </c>
      <c r="AT68" s="1435">
        <v>3.3155861263360249</v>
      </c>
      <c r="AU68" s="1435">
        <v>3.1891367615482804</v>
      </c>
      <c r="AV68" s="1435">
        <v>3.0708864847171373</v>
      </c>
      <c r="AW68" s="1435">
        <v>2.9568191129880477</v>
      </c>
      <c r="AX68" s="1435">
        <v>2.8490823324386856</v>
      </c>
      <c r="AY68" s="1435">
        <v>2.7301005666068008</v>
      </c>
      <c r="AZ68" s="1435">
        <v>2.6160647013487974</v>
      </c>
      <c r="BA68" s="1435">
        <v>2.5120165354445025</v>
      </c>
      <c r="BB68" s="1435">
        <v>2.4053479368327673</v>
      </c>
      <c r="BC68" s="1435">
        <v>2.2907160663846762</v>
      </c>
      <c r="BD68" s="1435">
        <v>2.2028413568504148</v>
      </c>
      <c r="BE68" s="1435">
        <v>2.1181422648008086</v>
      </c>
      <c r="BF68" s="1435">
        <v>2.0365083501171188</v>
      </c>
      <c r="BG68" s="1435">
        <v>1.9578329120939357</v>
      </c>
      <c r="BH68" s="1435">
        <v>1.8876625472873843</v>
      </c>
      <c r="BI68" s="1435">
        <v>1.8199188757828981</v>
      </c>
      <c r="BJ68" s="1435">
        <v>1.7545200648745269</v>
      </c>
      <c r="BK68" s="1435">
        <v>1.6965572495070871</v>
      </c>
      <c r="BL68" s="1435">
        <v>1.640482485729166</v>
      </c>
      <c r="BM68" s="1435">
        <v>1.5902192027050068</v>
      </c>
      <c r="BN68" s="1435">
        <v>1.5422060455055429</v>
      </c>
      <c r="BO68" s="1435">
        <v>1.4956407305461505</v>
      </c>
      <c r="BP68" s="1435">
        <v>1.4579128340272749</v>
      </c>
      <c r="BQ68" s="1435">
        <v>1.4211138727024559</v>
      </c>
      <c r="BR68" s="1435">
        <v>1.3661050051847132</v>
      </c>
      <c r="BS68" s="1435">
        <v>1.3130949552060076</v>
      </c>
      <c r="BT68" s="1435">
        <v>1.2620139528133307</v>
      </c>
      <c r="BU68" s="1435">
        <v>1.2145358690285781</v>
      </c>
      <c r="BV68" s="1435">
        <v>1.1687528865920829</v>
      </c>
      <c r="BW68" s="1435">
        <v>1.1330859234505297</v>
      </c>
      <c r="BX68" s="1435">
        <v>1.09829268384276</v>
      </c>
      <c r="BY68" s="1435">
        <v>1.0643587172242455</v>
      </c>
      <c r="BZ68" s="1435">
        <v>1.0371521280936788</v>
      </c>
      <c r="CA68" s="1435">
        <v>1.0103357970197586</v>
      </c>
      <c r="CB68" s="1435">
        <v>0.96728372347852642</v>
      </c>
      <c r="CC68" s="1435">
        <v>0.92588243316618513</v>
      </c>
      <c r="CD68" s="1435">
        <v>0.88607228659045634</v>
      </c>
      <c r="CE68" s="1435">
        <v>0.84779571798487574</v>
      </c>
      <c r="CF68" s="1435">
        <v>0.81099716510358011</v>
      </c>
      <c r="CG68" s="1435">
        <v>0.7756230013464972</v>
      </c>
      <c r="CH68" s="1435">
        <v>0.74162147013875401</v>
      </c>
      <c r="CI68" s="1435">
        <v>0.70894262149056098</v>
      </c>
      <c r="CJ68" s="1435">
        <v>0.6775382506662283</v>
      </c>
      <c r="CK68" s="1435">
        <v>0.64736183889326937</v>
      </c>
      <c r="CL68" s="1435">
        <v>0.6217378068796221</v>
      </c>
      <c r="CM68" s="1435">
        <v>0.59732289478686129</v>
      </c>
      <c r="CN68" s="1435">
        <v>0.57372909214367007</v>
      </c>
      <c r="CO68" s="1435">
        <v>0.55093086887106468</v>
      </c>
      <c r="CP68" s="1436">
        <v>0.52890345179489595</v>
      </c>
    </row>
    <row r="69" spans="2:94" s="1278" customFormat="1" ht="30" customHeight="1" thickBot="1" x14ac:dyDescent="0.35">
      <c r="B69" s="1730"/>
      <c r="C69" s="1442" t="s">
        <v>1339</v>
      </c>
      <c r="D69" s="1438" t="s">
        <v>1159</v>
      </c>
      <c r="E69" s="1280" t="s">
        <v>1327</v>
      </c>
      <c r="F69" s="1279"/>
      <c r="G69" s="1279"/>
      <c r="H69" s="1279" t="s">
        <v>163</v>
      </c>
      <c r="I69" s="1731">
        <f>IF(SUM($N68:$CP68)&lt;&gt;0,SUM($N68:$CP68),"")</f>
        <v>190.15412644791496</v>
      </c>
      <c r="J69" s="1732"/>
      <c r="K69" s="1732"/>
      <c r="L69" s="1732"/>
      <c r="M69" s="1733"/>
    </row>
    <row r="70" spans="2:94" ht="30" customHeight="1" x14ac:dyDescent="0.3">
      <c r="B70" s="1728" t="s">
        <v>1313</v>
      </c>
      <c r="C70" s="1446" t="s">
        <v>1340</v>
      </c>
      <c r="D70" s="1446" t="s">
        <v>1341</v>
      </c>
      <c r="E70" s="1269" t="s">
        <v>1316</v>
      </c>
      <c r="F70" s="1288"/>
      <c r="G70" s="1288"/>
      <c r="H70" s="1270" t="s">
        <v>163</v>
      </c>
      <c r="I70" s="1266"/>
      <c r="J70" s="1265"/>
      <c r="K70" s="1265"/>
      <c r="L70" s="1265"/>
      <c r="M70" s="1265"/>
      <c r="N70" s="1423"/>
      <c r="O70" s="1424">
        <v>1.5371831549564026</v>
      </c>
      <c r="P70" s="1424">
        <v>2.3057747324346036</v>
      </c>
      <c r="Q70" s="1424">
        <v>3.8429578873910071</v>
      </c>
      <c r="R70" s="1424">
        <v>3.8429578873910071</v>
      </c>
      <c r="S70" s="1424">
        <v>3.8429578873910071</v>
      </c>
      <c r="T70" s="1424">
        <v>3.8429578873910071</v>
      </c>
      <c r="U70" s="1424">
        <v>7.6859157747820142</v>
      </c>
      <c r="V70" s="1424">
        <v>11.528873662173021</v>
      </c>
      <c r="W70" s="1424">
        <v>19.214789436955034</v>
      </c>
      <c r="X70" s="1424">
        <v>19.214789436955034</v>
      </c>
      <c r="Y70" s="1424">
        <v>0</v>
      </c>
      <c r="Z70" s="1424">
        <v>0</v>
      </c>
      <c r="AA70" s="1424">
        <v>0</v>
      </c>
      <c r="AB70" s="1424">
        <v>0</v>
      </c>
      <c r="AC70" s="1424">
        <v>0</v>
      </c>
      <c r="AD70" s="1424">
        <v>0</v>
      </c>
      <c r="AE70" s="1424">
        <v>0</v>
      </c>
      <c r="AF70" s="1424">
        <v>0</v>
      </c>
      <c r="AG70" s="1424">
        <v>0</v>
      </c>
      <c r="AH70" s="1424">
        <v>0</v>
      </c>
      <c r="AI70" s="1424">
        <v>0</v>
      </c>
      <c r="AJ70" s="1424">
        <v>0</v>
      </c>
      <c r="AK70" s="1424">
        <v>0</v>
      </c>
      <c r="AL70" s="1424">
        <v>0</v>
      </c>
      <c r="AM70" s="1424">
        <v>0</v>
      </c>
      <c r="AN70" s="1424">
        <v>0.20479747682713195</v>
      </c>
      <c r="AO70" s="1424">
        <v>0.30719621524069796</v>
      </c>
      <c r="AP70" s="1424">
        <v>0.51199369206782985</v>
      </c>
      <c r="AQ70" s="1424">
        <v>0.51199369206782985</v>
      </c>
      <c r="AR70" s="1424">
        <v>0.51199369206782985</v>
      </c>
      <c r="AS70" s="1424">
        <v>0.51199369206782985</v>
      </c>
      <c r="AT70" s="1424">
        <v>1.0239873841356597</v>
      </c>
      <c r="AU70" s="1424">
        <v>1.5359810762034898</v>
      </c>
      <c r="AV70" s="1424">
        <v>2.559968460339149</v>
      </c>
      <c r="AW70" s="1424">
        <v>2.559968460339149</v>
      </c>
      <c r="AX70" s="1424">
        <v>0</v>
      </c>
      <c r="AY70" s="1424">
        <v>0</v>
      </c>
      <c r="AZ70" s="1424">
        <v>0</v>
      </c>
      <c r="BA70" s="1424">
        <v>0</v>
      </c>
      <c r="BB70" s="1424">
        <v>0</v>
      </c>
      <c r="BC70" s="1424">
        <v>1.2322936733006455</v>
      </c>
      <c r="BD70" s="1424">
        <v>1.8484405099509684</v>
      </c>
      <c r="BE70" s="1424">
        <v>3.0807341832516135</v>
      </c>
      <c r="BF70" s="1424">
        <v>3.0807341832516135</v>
      </c>
      <c r="BG70" s="1424">
        <v>3.0807341832516135</v>
      </c>
      <c r="BH70" s="1424">
        <v>3.0807341832516135</v>
      </c>
      <c r="BI70" s="1424">
        <v>6.161468366503227</v>
      </c>
      <c r="BJ70" s="1424">
        <v>9.2422025497548415</v>
      </c>
      <c r="BK70" s="1424">
        <v>15.403670916258069</v>
      </c>
      <c r="BL70" s="1424">
        <v>15.403670916258069</v>
      </c>
      <c r="BM70" s="1424">
        <v>0.20479747682713195</v>
      </c>
      <c r="BN70" s="1424">
        <v>0.30719621524069796</v>
      </c>
      <c r="BO70" s="1424">
        <v>0.51199369206782985</v>
      </c>
      <c r="BP70" s="1424">
        <v>0.51199369206782985</v>
      </c>
      <c r="BQ70" s="1424">
        <v>0.51199369206782985</v>
      </c>
      <c r="BR70" s="1424">
        <v>0.51199369206782985</v>
      </c>
      <c r="BS70" s="1424">
        <v>1.0239873841356597</v>
      </c>
      <c r="BT70" s="1424">
        <v>1.5359810762034898</v>
      </c>
      <c r="BU70" s="1424">
        <v>2.559968460339149</v>
      </c>
      <c r="BV70" s="1424">
        <v>2.559968460339149</v>
      </c>
      <c r="BW70" s="1424">
        <v>0</v>
      </c>
      <c r="BX70" s="1424">
        <v>0</v>
      </c>
      <c r="BY70" s="1424">
        <v>0</v>
      </c>
      <c r="BZ70" s="1424">
        <v>0</v>
      </c>
      <c r="CA70" s="1424">
        <v>0</v>
      </c>
      <c r="CB70" s="1424">
        <v>0</v>
      </c>
      <c r="CC70" s="1424">
        <v>0</v>
      </c>
      <c r="CD70" s="1424">
        <v>0</v>
      </c>
      <c r="CE70" s="1424">
        <v>0</v>
      </c>
      <c r="CF70" s="1424">
        <v>0</v>
      </c>
      <c r="CG70" s="1424">
        <v>0</v>
      </c>
      <c r="CH70" s="1424">
        <v>0</v>
      </c>
      <c r="CI70" s="1424">
        <v>0</v>
      </c>
      <c r="CJ70" s="1424">
        <v>0</v>
      </c>
      <c r="CK70" s="1424">
        <v>0</v>
      </c>
      <c r="CL70" s="1424">
        <v>0.20479747682713195</v>
      </c>
      <c r="CM70" s="1424">
        <v>0.30719621524069796</v>
      </c>
      <c r="CN70" s="1424">
        <v>0.51199369206782985</v>
      </c>
      <c r="CO70" s="1424">
        <v>0.51199369206782985</v>
      </c>
      <c r="CP70" s="1425">
        <v>0.51199369206782985</v>
      </c>
    </row>
    <row r="71" spans="2:94" ht="30" customHeight="1" x14ac:dyDescent="0.3">
      <c r="B71" s="1729"/>
      <c r="C71" s="1446" t="s">
        <v>1340</v>
      </c>
      <c r="D71" s="1446" t="s">
        <v>1341</v>
      </c>
      <c r="E71" s="1260" t="s">
        <v>1317</v>
      </c>
      <c r="F71" s="1287"/>
      <c r="G71" s="1287"/>
      <c r="H71" s="1264" t="s">
        <v>1318</v>
      </c>
      <c r="I71" s="1261"/>
      <c r="J71" s="1259"/>
      <c r="K71" s="1259"/>
      <c r="L71" s="1259"/>
      <c r="M71" s="1259"/>
      <c r="N71" s="1426"/>
      <c r="O71" s="1427">
        <v>0</v>
      </c>
      <c r="P71" s="1427">
        <v>0</v>
      </c>
      <c r="Q71" s="1427">
        <v>0</v>
      </c>
      <c r="R71" s="1427">
        <v>0</v>
      </c>
      <c r="S71" s="1427">
        <v>0</v>
      </c>
      <c r="T71" s="1427">
        <v>0</v>
      </c>
      <c r="U71" s="1427">
        <v>0</v>
      </c>
      <c r="V71" s="1427">
        <v>0</v>
      </c>
      <c r="W71" s="1427">
        <v>0</v>
      </c>
      <c r="X71" s="1427">
        <v>0</v>
      </c>
      <c r="Y71" s="1427">
        <v>0.82370105656785264</v>
      </c>
      <c r="Z71" s="1427">
        <v>0.82370105656785264</v>
      </c>
      <c r="AA71" s="1427">
        <v>0.82370105656785264</v>
      </c>
      <c r="AB71" s="1427">
        <v>0.82370105656785264</v>
      </c>
      <c r="AC71" s="1427">
        <v>0.82370105656785264</v>
      </c>
      <c r="AD71" s="1427">
        <v>0.82370105656785264</v>
      </c>
      <c r="AE71" s="1427">
        <v>0.82370105656785264</v>
      </c>
      <c r="AF71" s="1427">
        <v>0.82370105656785264</v>
      </c>
      <c r="AG71" s="1427">
        <v>0.82370105656785264</v>
      </c>
      <c r="AH71" s="1427">
        <v>0.82370105656785264</v>
      </c>
      <c r="AI71" s="1427">
        <v>0.82370105656785264</v>
      </c>
      <c r="AJ71" s="1427">
        <v>0.82370105656785264</v>
      </c>
      <c r="AK71" s="1427">
        <v>0.82370105656785264</v>
      </c>
      <c r="AL71" s="1427">
        <v>0.82370105656785264</v>
      </c>
      <c r="AM71" s="1427">
        <v>0.82370105656785264</v>
      </c>
      <c r="AN71" s="1427">
        <v>0.82370105656785264</v>
      </c>
      <c r="AO71" s="1427">
        <v>0.82370105656785264</v>
      </c>
      <c r="AP71" s="1427">
        <v>0.82370105656785264</v>
      </c>
      <c r="AQ71" s="1427">
        <v>0.82370105656785264</v>
      </c>
      <c r="AR71" s="1427">
        <v>0.82370105656785264</v>
      </c>
      <c r="AS71" s="1427">
        <v>0.82370105656785264</v>
      </c>
      <c r="AT71" s="1427">
        <v>0.82370105656785264</v>
      </c>
      <c r="AU71" s="1427">
        <v>0.82370105656785264</v>
      </c>
      <c r="AV71" s="1427">
        <v>0.82370105656785264</v>
      </c>
      <c r="AW71" s="1427">
        <v>0.82370105656785264</v>
      </c>
      <c r="AX71" s="1427">
        <v>0.82370105656785264</v>
      </c>
      <c r="AY71" s="1427">
        <v>0.82370105656785264</v>
      </c>
      <c r="AZ71" s="1427">
        <v>0.82370105656785264</v>
      </c>
      <c r="BA71" s="1427">
        <v>0.82370105656785264</v>
      </c>
      <c r="BB71" s="1427">
        <v>0.82370105656785264</v>
      </c>
      <c r="BC71" s="1427">
        <v>0.82370105656785264</v>
      </c>
      <c r="BD71" s="1427">
        <v>0.82370105656785264</v>
      </c>
      <c r="BE71" s="1427">
        <v>0.82370105656785264</v>
      </c>
      <c r="BF71" s="1427">
        <v>0.82370105656785264</v>
      </c>
      <c r="BG71" s="1427">
        <v>0.82370105656785264</v>
      </c>
      <c r="BH71" s="1427">
        <v>0.82370105656785264</v>
      </c>
      <c r="BI71" s="1427">
        <v>0.82370105656785264</v>
      </c>
      <c r="BJ71" s="1427">
        <v>0.82370105656785264</v>
      </c>
      <c r="BK71" s="1427">
        <v>0.82370105656785264</v>
      </c>
      <c r="BL71" s="1427">
        <v>0.82370105656785264</v>
      </c>
      <c r="BM71" s="1427">
        <v>0.82370105656785264</v>
      </c>
      <c r="BN71" s="1427">
        <v>0.82370105656785264</v>
      </c>
      <c r="BO71" s="1427">
        <v>0.82370105656785264</v>
      </c>
      <c r="BP71" s="1427">
        <v>0.82370105656785264</v>
      </c>
      <c r="BQ71" s="1427">
        <v>0.82370105656785264</v>
      </c>
      <c r="BR71" s="1427">
        <v>0.82370105656785264</v>
      </c>
      <c r="BS71" s="1427">
        <v>0.82370105656785264</v>
      </c>
      <c r="BT71" s="1427">
        <v>0.82370105656785264</v>
      </c>
      <c r="BU71" s="1427">
        <v>0.82370105656785264</v>
      </c>
      <c r="BV71" s="1427">
        <v>0.82370105656785264</v>
      </c>
      <c r="BW71" s="1427">
        <v>0.82370105656785264</v>
      </c>
      <c r="BX71" s="1427">
        <v>0.82370105656785264</v>
      </c>
      <c r="BY71" s="1427">
        <v>0.82370105656785264</v>
      </c>
      <c r="BZ71" s="1427">
        <v>0.82370105656785264</v>
      </c>
      <c r="CA71" s="1427">
        <v>0.82370105656785264</v>
      </c>
      <c r="CB71" s="1427">
        <v>0.82370105656785264</v>
      </c>
      <c r="CC71" s="1427">
        <v>0.82370105656785264</v>
      </c>
      <c r="CD71" s="1427">
        <v>0.82370105656785264</v>
      </c>
      <c r="CE71" s="1427">
        <v>0.82370105656785264</v>
      </c>
      <c r="CF71" s="1427">
        <v>0.82370105656785264</v>
      </c>
      <c r="CG71" s="1427">
        <v>0.82370105656785264</v>
      </c>
      <c r="CH71" s="1427">
        <v>0.82370105656785264</v>
      </c>
      <c r="CI71" s="1427">
        <v>0.82370105656785264</v>
      </c>
      <c r="CJ71" s="1427">
        <v>0.82370105656785264</v>
      </c>
      <c r="CK71" s="1427">
        <v>0.82370105656785264</v>
      </c>
      <c r="CL71" s="1427">
        <v>0.82370105656785264</v>
      </c>
      <c r="CM71" s="1427">
        <v>0.82370105656785264</v>
      </c>
      <c r="CN71" s="1427">
        <v>0.82370105656785264</v>
      </c>
      <c r="CO71" s="1427">
        <v>0.82370105656785264</v>
      </c>
      <c r="CP71" s="1428">
        <v>0.82370105656785264</v>
      </c>
    </row>
    <row r="72" spans="2:94" ht="30" customHeight="1" x14ac:dyDescent="0.3">
      <c r="B72" s="1729"/>
      <c r="C72" s="1446" t="s">
        <v>1340</v>
      </c>
      <c r="D72" s="1446" t="s">
        <v>1341</v>
      </c>
      <c r="E72" s="1260" t="s">
        <v>1319</v>
      </c>
      <c r="F72" s="1287"/>
      <c r="G72" s="1287"/>
      <c r="H72" s="1264" t="s">
        <v>1318</v>
      </c>
      <c r="I72" s="1261"/>
      <c r="J72" s="1259"/>
      <c r="K72" s="1259"/>
      <c r="L72" s="1259"/>
      <c r="M72" s="1259"/>
      <c r="N72" s="1426"/>
      <c r="O72" s="1427">
        <v>8.4548483382583181E-2</v>
      </c>
      <c r="P72" s="1427">
        <v>0.21019589704025196</v>
      </c>
      <c r="Q72" s="1427">
        <v>0.41862882695619491</v>
      </c>
      <c r="R72" s="1427">
        <v>0.62412347833162285</v>
      </c>
      <c r="S72" s="1427">
        <v>0.82667985116653586</v>
      </c>
      <c r="T72" s="1427">
        <v>1.0262979454609338</v>
      </c>
      <c r="U72" s="1427">
        <v>1.4343489696712746</v>
      </c>
      <c r="V72" s="1427">
        <v>2.0478946452570432</v>
      </c>
      <c r="W72" s="1427">
        <v>3.0753679021341833</v>
      </c>
      <c r="X72" s="1427">
        <v>4.0881497663087476</v>
      </c>
      <c r="Y72" s="1427">
        <v>4.0293841954984471</v>
      </c>
      <c r="Z72" s="1427">
        <v>3.970618624688147</v>
      </c>
      <c r="AA72" s="1427">
        <v>3.9118530538778469</v>
      </c>
      <c r="AB72" s="1427">
        <v>3.8530874830675463</v>
      </c>
      <c r="AC72" s="1427">
        <v>3.7943219122572454</v>
      </c>
      <c r="AD72" s="1427">
        <v>3.7355563414469461</v>
      </c>
      <c r="AE72" s="1427">
        <v>3.6767907706366452</v>
      </c>
      <c r="AF72" s="1427">
        <v>3.6180251998263442</v>
      </c>
      <c r="AG72" s="1427">
        <v>3.5592596290160441</v>
      </c>
      <c r="AH72" s="1427">
        <v>3.500494058205744</v>
      </c>
      <c r="AI72" s="1427">
        <v>3.441728487395443</v>
      </c>
      <c r="AJ72" s="1427">
        <v>3.3829629165851434</v>
      </c>
      <c r="AK72" s="1427">
        <v>3.3241973457748428</v>
      </c>
      <c r="AL72" s="1427">
        <v>3.2654317749645414</v>
      </c>
      <c r="AM72" s="1427">
        <v>3.2066662041542413</v>
      </c>
      <c r="AN72" s="1427">
        <v>3.1538807196672933</v>
      </c>
      <c r="AO72" s="1427">
        <v>3.104085278342021</v>
      </c>
      <c r="AP72" s="1427">
        <v>3.0602699233401012</v>
      </c>
      <c r="AQ72" s="1427">
        <v>3.0164545683381814</v>
      </c>
      <c r="AR72" s="1427">
        <v>2.972639213336262</v>
      </c>
      <c r="AS72" s="1427">
        <v>2.9288238583343418</v>
      </c>
      <c r="AT72" s="1427">
        <v>2.8999587191408027</v>
      </c>
      <c r="AU72" s="1427">
        <v>2.8860437957556444</v>
      </c>
      <c r="AV72" s="1427">
        <v>2.9020293039872467</v>
      </c>
      <c r="AW72" s="1427">
        <v>2.9180148122188498</v>
      </c>
      <c r="AX72" s="1427">
        <v>2.8592492414085493</v>
      </c>
      <c r="AY72" s="1427">
        <v>2.8004836705982488</v>
      </c>
      <c r="AZ72" s="1427">
        <v>2.7417180997879482</v>
      </c>
      <c r="BA72" s="1427">
        <v>2.6829525289776481</v>
      </c>
      <c r="BB72" s="1427">
        <v>2.6241869581673472</v>
      </c>
      <c r="BC72" s="1427">
        <v>2.6014043626174264</v>
      </c>
      <c r="BD72" s="1427">
        <v>2.5966132546976932</v>
      </c>
      <c r="BE72" s="1427">
        <v>2.6278051220383398</v>
      </c>
      <c r="BF72" s="1427">
        <v>2.6589969893789873</v>
      </c>
      <c r="BG72" s="1427">
        <v>2.6901888567196339</v>
      </c>
      <c r="BH72" s="1427">
        <v>2.7213807240602805</v>
      </c>
      <c r="BI72" s="1427">
        <v>2.8425300295518743</v>
      </c>
      <c r="BJ72" s="1427">
        <v>3.0536367731944147</v>
      </c>
      <c r="BK72" s="1427">
        <v>3.4446583931388504</v>
      </c>
      <c r="BL72" s="1427">
        <v>3.8356800130832847</v>
      </c>
      <c r="BM72" s="1427">
        <v>3.7828945285963362</v>
      </c>
      <c r="BN72" s="1427">
        <v>3.7330990872710643</v>
      </c>
      <c r="BO72" s="1427">
        <v>3.689283732269145</v>
      </c>
      <c r="BP72" s="1427">
        <v>3.6454683772672252</v>
      </c>
      <c r="BQ72" s="1427">
        <v>3.6016530222653049</v>
      </c>
      <c r="BR72" s="1427">
        <v>3.5578376672633856</v>
      </c>
      <c r="BS72" s="1427">
        <v>3.5289725280698456</v>
      </c>
      <c r="BT72" s="1427">
        <v>3.5150576046846878</v>
      </c>
      <c r="BU72" s="1427">
        <v>3.5310431129162909</v>
      </c>
      <c r="BV72" s="1427">
        <v>3.5470286211478932</v>
      </c>
      <c r="BW72" s="1427">
        <v>3.4882630503375927</v>
      </c>
      <c r="BX72" s="1427">
        <v>3.4294974795272926</v>
      </c>
      <c r="BY72" s="1427">
        <v>3.370731908716992</v>
      </c>
      <c r="BZ72" s="1427">
        <v>3.3119663379066919</v>
      </c>
      <c r="CA72" s="1427">
        <v>3.2532007670963914</v>
      </c>
      <c r="CB72" s="1427">
        <v>3.1944351962860909</v>
      </c>
      <c r="CC72" s="1427">
        <v>3.1356696254757899</v>
      </c>
      <c r="CD72" s="1427">
        <v>3.0769040546654898</v>
      </c>
      <c r="CE72" s="1427">
        <v>3.0181384838551892</v>
      </c>
      <c r="CF72" s="1427">
        <v>2.9593729130448891</v>
      </c>
      <c r="CG72" s="1427">
        <v>2.9006073422345886</v>
      </c>
      <c r="CH72" s="1427">
        <v>2.8418417714242881</v>
      </c>
      <c r="CI72" s="1427">
        <v>2.7830762006139875</v>
      </c>
      <c r="CJ72" s="1427">
        <v>2.7243106298036874</v>
      </c>
      <c r="CK72" s="1427">
        <v>2.665545058993386</v>
      </c>
      <c r="CL72" s="1427">
        <v>2.6127595745064385</v>
      </c>
      <c r="CM72" s="1427">
        <v>2.5629641331811661</v>
      </c>
      <c r="CN72" s="1427">
        <v>2.5191487781792468</v>
      </c>
      <c r="CO72" s="1427">
        <v>2.4753334231773265</v>
      </c>
      <c r="CP72" s="1428">
        <v>2.4315180681754067</v>
      </c>
    </row>
    <row r="73" spans="2:94" ht="30" customHeight="1" x14ac:dyDescent="0.3">
      <c r="B73" s="1729"/>
      <c r="C73" s="1446" t="s">
        <v>1340</v>
      </c>
      <c r="D73" s="1446" t="s">
        <v>1341</v>
      </c>
      <c r="E73" s="1260" t="s">
        <v>1320</v>
      </c>
      <c r="F73" s="1287"/>
      <c r="G73" s="1287"/>
      <c r="H73" s="1264" t="s">
        <v>1318</v>
      </c>
      <c r="I73" s="1261"/>
      <c r="J73" s="1259"/>
      <c r="K73" s="1259"/>
      <c r="L73" s="1259"/>
      <c r="M73" s="1259"/>
      <c r="N73" s="1426"/>
      <c r="O73" s="1427"/>
      <c r="P73" s="1427">
        <v>3.5000000000000003E-2</v>
      </c>
      <c r="Q73" s="1427">
        <v>3.5000000000000003E-2</v>
      </c>
      <c r="R73" s="1427">
        <v>3.5000000000000003E-2</v>
      </c>
      <c r="S73" s="1427">
        <v>3.5000000000000003E-2</v>
      </c>
      <c r="T73" s="1427">
        <v>3.5000000000000003E-2</v>
      </c>
      <c r="U73" s="1427">
        <v>3.5000000000000003E-2</v>
      </c>
      <c r="V73" s="1427">
        <v>3.5000000000000003E-2</v>
      </c>
      <c r="W73" s="1427">
        <v>3.5000000000000003E-2</v>
      </c>
      <c r="X73" s="1427">
        <v>3.5000000000000003E-2</v>
      </c>
      <c r="Y73" s="1427">
        <v>3.5000000000000003E-2</v>
      </c>
      <c r="Z73" s="1427">
        <v>3.5000000000000003E-2</v>
      </c>
      <c r="AA73" s="1427">
        <v>3.5000000000000003E-2</v>
      </c>
      <c r="AB73" s="1427">
        <v>3.5000000000000003E-2</v>
      </c>
      <c r="AC73" s="1427">
        <v>3.5000000000000003E-2</v>
      </c>
      <c r="AD73" s="1427">
        <v>3.5000000000000003E-2</v>
      </c>
      <c r="AE73" s="1427">
        <v>3.5000000000000003E-2</v>
      </c>
      <c r="AF73" s="1427">
        <v>3.5000000000000003E-2</v>
      </c>
      <c r="AG73" s="1427">
        <v>3.5000000000000003E-2</v>
      </c>
      <c r="AH73" s="1427">
        <v>3.5000000000000003E-2</v>
      </c>
      <c r="AI73" s="1427">
        <v>3.5000000000000003E-2</v>
      </c>
      <c r="AJ73" s="1427">
        <v>3.5000000000000003E-2</v>
      </c>
      <c r="AK73" s="1427">
        <v>3.5000000000000003E-2</v>
      </c>
      <c r="AL73" s="1427">
        <v>3.5000000000000003E-2</v>
      </c>
      <c r="AM73" s="1427">
        <v>3.5000000000000003E-2</v>
      </c>
      <c r="AN73" s="1427">
        <v>3.5000000000000003E-2</v>
      </c>
      <c r="AO73" s="1427">
        <v>3.5000000000000003E-2</v>
      </c>
      <c r="AP73" s="1427">
        <v>3.5000000000000003E-2</v>
      </c>
      <c r="AQ73" s="1427">
        <v>3.5000000000000003E-2</v>
      </c>
      <c r="AR73" s="1427">
        <v>3.5000000000000003E-2</v>
      </c>
      <c r="AS73" s="1427">
        <v>0.03</v>
      </c>
      <c r="AT73" s="1427">
        <v>0.03</v>
      </c>
      <c r="AU73" s="1427">
        <v>0.03</v>
      </c>
      <c r="AV73" s="1427">
        <v>0.03</v>
      </c>
      <c r="AW73" s="1427">
        <v>0.03</v>
      </c>
      <c r="AX73" s="1427">
        <v>0.03</v>
      </c>
      <c r="AY73" s="1427">
        <v>0.03</v>
      </c>
      <c r="AZ73" s="1427">
        <v>0.03</v>
      </c>
      <c r="BA73" s="1427">
        <v>0.03</v>
      </c>
      <c r="BB73" s="1427">
        <v>0.03</v>
      </c>
      <c r="BC73" s="1427">
        <v>0.03</v>
      </c>
      <c r="BD73" s="1427">
        <v>0.03</v>
      </c>
      <c r="BE73" s="1427">
        <v>0.03</v>
      </c>
      <c r="BF73" s="1427">
        <v>0.03</v>
      </c>
      <c r="BG73" s="1427">
        <v>0.03</v>
      </c>
      <c r="BH73" s="1427">
        <v>0.03</v>
      </c>
      <c r="BI73" s="1427">
        <v>0.03</v>
      </c>
      <c r="BJ73" s="1427">
        <v>0.03</v>
      </c>
      <c r="BK73" s="1427">
        <v>0.03</v>
      </c>
      <c r="BL73" s="1427">
        <v>0.03</v>
      </c>
      <c r="BM73" s="1427">
        <v>0.03</v>
      </c>
      <c r="BN73" s="1427">
        <v>0.03</v>
      </c>
      <c r="BO73" s="1427">
        <v>0.03</v>
      </c>
      <c r="BP73" s="1427">
        <v>0.03</v>
      </c>
      <c r="BQ73" s="1427">
        <v>0.03</v>
      </c>
      <c r="BR73" s="1427">
        <v>0.03</v>
      </c>
      <c r="BS73" s="1427">
        <v>0.03</v>
      </c>
      <c r="BT73" s="1427">
        <v>0.03</v>
      </c>
      <c r="BU73" s="1427">
        <v>0.03</v>
      </c>
      <c r="BV73" s="1427">
        <v>0.03</v>
      </c>
      <c r="BW73" s="1427">
        <v>0.03</v>
      </c>
      <c r="BX73" s="1427">
        <v>0.03</v>
      </c>
      <c r="BY73" s="1427">
        <v>0.03</v>
      </c>
      <c r="BZ73" s="1427">
        <v>0.03</v>
      </c>
      <c r="CA73" s="1427">
        <v>0.03</v>
      </c>
      <c r="CB73" s="1427">
        <v>0.03</v>
      </c>
      <c r="CC73" s="1427">
        <v>0.03</v>
      </c>
      <c r="CD73" s="1427">
        <v>0.03</v>
      </c>
      <c r="CE73" s="1427">
        <v>0.03</v>
      </c>
      <c r="CF73" s="1427">
        <v>0.03</v>
      </c>
      <c r="CG73" s="1427">
        <v>0.03</v>
      </c>
      <c r="CH73" s="1427">
        <v>0.03</v>
      </c>
      <c r="CI73" s="1427">
        <v>0.03</v>
      </c>
      <c r="CJ73" s="1427">
        <v>0.03</v>
      </c>
      <c r="CK73" s="1427">
        <v>0.03</v>
      </c>
      <c r="CL73" s="1427">
        <v>2.5000000000000001E-2</v>
      </c>
      <c r="CM73" s="1427">
        <v>2.5000000000000001E-2</v>
      </c>
      <c r="CN73" s="1427">
        <v>2.5000000000000001E-2</v>
      </c>
      <c r="CO73" s="1427">
        <v>2.5000000000000001E-2</v>
      </c>
      <c r="CP73" s="1428">
        <v>2.5000000000000001E-2</v>
      </c>
    </row>
    <row r="74" spans="2:94" ht="30" customHeight="1" x14ac:dyDescent="0.3">
      <c r="B74" s="1729"/>
      <c r="C74" s="1446" t="s">
        <v>1340</v>
      </c>
      <c r="D74" s="1446" t="s">
        <v>1341</v>
      </c>
      <c r="E74" s="1260" t="s">
        <v>1321</v>
      </c>
      <c r="F74" s="1287"/>
      <c r="G74" s="1287"/>
      <c r="H74" s="1264" t="s">
        <v>1318</v>
      </c>
      <c r="I74" s="1261"/>
      <c r="J74" s="1259"/>
      <c r="K74" s="1259"/>
      <c r="L74" s="1259"/>
      <c r="M74" s="1259"/>
      <c r="N74" s="1426"/>
      <c r="O74" s="1427">
        <v>1</v>
      </c>
      <c r="P74" s="1427">
        <v>0.96618357487922713</v>
      </c>
      <c r="Q74" s="1427">
        <v>0.93351070036640305</v>
      </c>
      <c r="R74" s="1427">
        <v>0.90194270566802237</v>
      </c>
      <c r="S74" s="1427">
        <v>0.87144222769857238</v>
      </c>
      <c r="T74" s="1427">
        <v>0.84197316685852408</v>
      </c>
      <c r="U74" s="1427">
        <v>0.81350064430775282</v>
      </c>
      <c r="V74" s="1427">
        <v>0.78599096068381924</v>
      </c>
      <c r="W74" s="1427">
        <v>0.75941155621625056</v>
      </c>
      <c r="X74" s="1427">
        <v>0.73373097218961414</v>
      </c>
      <c r="Y74" s="1427">
        <v>0.70891881370977217</v>
      </c>
      <c r="Z74" s="1427">
        <v>0.68494571372924851</v>
      </c>
      <c r="AA74" s="1427">
        <v>0.66178329828912907</v>
      </c>
      <c r="AB74" s="1427">
        <v>0.63940415293635666</v>
      </c>
      <c r="AC74" s="1427">
        <v>0.61778179027667313</v>
      </c>
      <c r="AD74" s="1427">
        <v>0.59689061862480497</v>
      </c>
      <c r="AE74" s="1427">
        <v>0.57670591171478747</v>
      </c>
      <c r="AF74" s="1427">
        <v>0.55720377943457733</v>
      </c>
      <c r="AG74" s="1427">
        <v>0.53836113955031628</v>
      </c>
      <c r="AH74" s="1427">
        <v>0.520155690386779</v>
      </c>
      <c r="AI74" s="1427">
        <v>0.50256588443167061</v>
      </c>
      <c r="AJ74" s="1427">
        <v>0.48557090283253201</v>
      </c>
      <c r="AK74" s="1427">
        <v>0.46915063075606961</v>
      </c>
      <c r="AL74" s="1427">
        <v>0.45328563358074364</v>
      </c>
      <c r="AM74" s="1427">
        <v>0.43795713389443836</v>
      </c>
      <c r="AN74" s="1427">
        <v>0.42314698926998878</v>
      </c>
      <c r="AO74" s="1427">
        <v>0.40883767079225974</v>
      </c>
      <c r="AP74" s="1427">
        <v>0.39501224231136212</v>
      </c>
      <c r="AQ74" s="1427">
        <v>0.38165434039745133</v>
      </c>
      <c r="AR74" s="1427">
        <v>0.36874815497338298</v>
      </c>
      <c r="AS74" s="1427">
        <v>0.35800791744988636</v>
      </c>
      <c r="AT74" s="1427">
        <v>0.34758050237853044</v>
      </c>
      <c r="AU74" s="1427">
        <v>0.33745679842575771</v>
      </c>
      <c r="AV74" s="1427">
        <v>0.32762795963665797</v>
      </c>
      <c r="AW74" s="1427">
        <v>0.31808539770549316</v>
      </c>
      <c r="AX74" s="1427">
        <v>0.30882077447135259</v>
      </c>
      <c r="AY74" s="1427">
        <v>0.29982599463238113</v>
      </c>
      <c r="AZ74" s="1427">
        <v>0.29109319867221467</v>
      </c>
      <c r="BA74" s="1427">
        <v>0.2826147559924414</v>
      </c>
      <c r="BB74" s="1427">
        <v>0.27438325824508875</v>
      </c>
      <c r="BC74" s="1427">
        <v>0.26639151285930945</v>
      </c>
      <c r="BD74" s="1427">
        <v>0.25863253675661113</v>
      </c>
      <c r="BE74" s="1427">
        <v>0.25109955024913699</v>
      </c>
      <c r="BF74" s="1427">
        <v>0.24378597111566697</v>
      </c>
      <c r="BG74" s="1427">
        <v>0.23668540885016209</v>
      </c>
      <c r="BH74" s="1427">
        <v>0.22979165907782728</v>
      </c>
      <c r="BI74" s="1427">
        <v>0.22309869813381289</v>
      </c>
      <c r="BJ74" s="1427">
        <v>0.21660067779981834</v>
      </c>
      <c r="BK74" s="1427">
        <v>0.21029192019399839</v>
      </c>
      <c r="BL74" s="1427">
        <v>0.20416691280970717</v>
      </c>
      <c r="BM74" s="1427">
        <v>0.19822030369874483</v>
      </c>
      <c r="BN74" s="1427">
        <v>0.19244689679489788</v>
      </c>
      <c r="BO74" s="1427">
        <v>0.18684164737368725</v>
      </c>
      <c r="BP74" s="1427">
        <v>0.18139965764435656</v>
      </c>
      <c r="BQ74" s="1427">
        <v>0.17611617247024908</v>
      </c>
      <c r="BR74" s="1427">
        <v>0.17098657521383406</v>
      </c>
      <c r="BS74" s="1427">
        <v>0.1660063837027515</v>
      </c>
      <c r="BT74" s="1427">
        <v>0.16117124631335097</v>
      </c>
      <c r="BU74" s="1427">
        <v>0.15647693816830191</v>
      </c>
      <c r="BV74" s="1427">
        <v>0.1519193574449533</v>
      </c>
      <c r="BW74" s="1427">
        <v>0.1474945217912168</v>
      </c>
      <c r="BX74" s="1427">
        <v>0.14319856484584156</v>
      </c>
      <c r="BY74" s="1427">
        <v>0.13902773286004036</v>
      </c>
      <c r="BZ74" s="1427">
        <v>0.13497838141751492</v>
      </c>
      <c r="CA74" s="1427">
        <v>0.13104697225001449</v>
      </c>
      <c r="CB74" s="1427">
        <v>0.12723007014564514</v>
      </c>
      <c r="CC74" s="1427">
        <v>0.12352433994722828</v>
      </c>
      <c r="CD74" s="1427">
        <v>0.11992654363808571</v>
      </c>
      <c r="CE74" s="1427">
        <v>0.11643353751270456</v>
      </c>
      <c r="CF74" s="1427">
        <v>0.11304226942981026</v>
      </c>
      <c r="CG74" s="1427">
        <v>0.10974977614544684</v>
      </c>
      <c r="CH74" s="1427">
        <v>0.10655318072373479</v>
      </c>
      <c r="CI74" s="1427">
        <v>0.10344969002304348</v>
      </c>
      <c r="CJ74" s="1427">
        <v>0.10043659225538201</v>
      </c>
      <c r="CK74" s="1427">
        <v>9.7511254616875737E-2</v>
      </c>
      <c r="CL74" s="1427">
        <v>9.5132931333537313E-2</v>
      </c>
      <c r="CM74" s="1427">
        <v>9.2812615935158368E-2</v>
      </c>
      <c r="CN74" s="1427">
        <v>9.0548893595276458E-2</v>
      </c>
      <c r="CO74" s="1427">
        <v>8.834038399539168E-2</v>
      </c>
      <c r="CP74" s="1428">
        <v>8.6185740483308959E-2</v>
      </c>
    </row>
    <row r="75" spans="2:94" ht="30" customHeight="1" x14ac:dyDescent="0.3">
      <c r="B75" s="1729"/>
      <c r="C75" s="1446" t="s">
        <v>1340</v>
      </c>
      <c r="D75" s="1446" t="s">
        <v>1341</v>
      </c>
      <c r="E75" s="1260" t="s">
        <v>1322</v>
      </c>
      <c r="F75" s="1260" t="s">
        <v>1330</v>
      </c>
      <c r="G75" s="1260"/>
      <c r="H75" s="1260" t="s">
        <v>1324</v>
      </c>
      <c r="I75" s="1261"/>
      <c r="J75" s="1259"/>
      <c r="K75" s="1259"/>
      <c r="L75" s="1259"/>
      <c r="M75" s="1259"/>
      <c r="N75" s="1426"/>
      <c r="O75" s="1427"/>
      <c r="P75" s="1427"/>
      <c r="Q75" s="1427"/>
      <c r="R75" s="1427"/>
      <c r="S75" s="1427"/>
      <c r="T75" s="1427"/>
      <c r="U75" s="1427"/>
      <c r="V75" s="1427"/>
      <c r="W75" s="1427"/>
      <c r="X75" s="1427"/>
      <c r="Y75" s="1427"/>
      <c r="Z75" s="1427"/>
      <c r="AA75" s="1427"/>
      <c r="AB75" s="1427"/>
      <c r="AC75" s="1427"/>
      <c r="AD75" s="1427"/>
      <c r="AE75" s="1427"/>
      <c r="AF75" s="1427"/>
      <c r="AG75" s="1427"/>
      <c r="AH75" s="1427"/>
      <c r="AI75" s="1427"/>
      <c r="AJ75" s="1427"/>
      <c r="AK75" s="1427"/>
      <c r="AL75" s="1427"/>
      <c r="AM75" s="1427"/>
      <c r="AN75" s="1427"/>
      <c r="AO75" s="1427"/>
      <c r="AP75" s="1427"/>
      <c r="AQ75" s="1427"/>
      <c r="AR75" s="1427"/>
      <c r="AS75" s="1427"/>
      <c r="AT75" s="1427"/>
      <c r="AU75" s="1427"/>
      <c r="AV75" s="1427"/>
      <c r="AW75" s="1427"/>
      <c r="AX75" s="1427"/>
      <c r="AY75" s="1427"/>
      <c r="AZ75" s="1427"/>
      <c r="BA75" s="1427"/>
      <c r="BB75" s="1427"/>
      <c r="BC75" s="1427"/>
      <c r="BD75" s="1427"/>
      <c r="BE75" s="1427"/>
      <c r="BF75" s="1427"/>
      <c r="BG75" s="1427"/>
      <c r="BH75" s="1427"/>
      <c r="BI75" s="1427"/>
      <c r="BJ75" s="1427"/>
      <c r="BK75" s="1427"/>
      <c r="BL75" s="1427"/>
      <c r="BM75" s="1427"/>
      <c r="BN75" s="1427"/>
      <c r="BO75" s="1427"/>
      <c r="BP75" s="1427"/>
      <c r="BQ75" s="1427"/>
      <c r="BR75" s="1427"/>
      <c r="BS75" s="1427"/>
      <c r="BT75" s="1427"/>
      <c r="BU75" s="1427"/>
      <c r="BV75" s="1427"/>
      <c r="BW75" s="1427"/>
      <c r="BX75" s="1427"/>
      <c r="BY75" s="1427"/>
      <c r="BZ75" s="1427"/>
      <c r="CA75" s="1427"/>
      <c r="CB75" s="1427"/>
      <c r="CC75" s="1427"/>
      <c r="CD75" s="1427"/>
      <c r="CE75" s="1427"/>
      <c r="CF75" s="1427"/>
      <c r="CG75" s="1427"/>
      <c r="CH75" s="1427"/>
      <c r="CI75" s="1427"/>
      <c r="CJ75" s="1427"/>
      <c r="CK75" s="1427"/>
      <c r="CL75" s="1427"/>
      <c r="CM75" s="1427"/>
      <c r="CN75" s="1427"/>
      <c r="CO75" s="1427"/>
      <c r="CP75" s="1428"/>
    </row>
    <row r="76" spans="2:94" ht="30" customHeight="1" x14ac:dyDescent="0.3">
      <c r="B76" s="1729"/>
      <c r="C76" s="1446" t="s">
        <v>1340</v>
      </c>
      <c r="D76" s="1446" t="s">
        <v>1341</v>
      </c>
      <c r="E76" s="1264" t="s">
        <v>1322</v>
      </c>
      <c r="F76" s="1260" t="s">
        <v>1325</v>
      </c>
      <c r="G76" s="1260"/>
      <c r="H76" s="1285" t="s">
        <v>1324</v>
      </c>
      <c r="I76" s="1284"/>
      <c r="J76" s="1259"/>
      <c r="K76" s="1259"/>
      <c r="L76" s="1259"/>
      <c r="M76" s="1259"/>
      <c r="N76" s="1426"/>
      <c r="O76" s="1427"/>
      <c r="P76" s="1427"/>
      <c r="Q76" s="1427"/>
      <c r="R76" s="1427"/>
      <c r="S76" s="1427"/>
      <c r="T76" s="1427"/>
      <c r="U76" s="1427"/>
      <c r="V76" s="1427"/>
      <c r="W76" s="1427"/>
      <c r="X76" s="1427"/>
      <c r="Y76" s="1427"/>
      <c r="Z76" s="1427"/>
      <c r="AA76" s="1427"/>
      <c r="AB76" s="1427"/>
      <c r="AC76" s="1427"/>
      <c r="AD76" s="1427"/>
      <c r="AE76" s="1427"/>
      <c r="AF76" s="1427"/>
      <c r="AG76" s="1427"/>
      <c r="AH76" s="1427"/>
      <c r="AI76" s="1427"/>
      <c r="AJ76" s="1427"/>
      <c r="AK76" s="1427"/>
      <c r="AL76" s="1427"/>
      <c r="AM76" s="1427"/>
      <c r="AN76" s="1427"/>
      <c r="AO76" s="1427"/>
      <c r="AP76" s="1427"/>
      <c r="AQ76" s="1427"/>
      <c r="AR76" s="1427"/>
      <c r="AS76" s="1427"/>
      <c r="AT76" s="1427"/>
      <c r="AU76" s="1427"/>
      <c r="AV76" s="1427"/>
      <c r="AW76" s="1427"/>
      <c r="AX76" s="1427"/>
      <c r="AY76" s="1427"/>
      <c r="AZ76" s="1427"/>
      <c r="BA76" s="1427"/>
      <c r="BB76" s="1427"/>
      <c r="BC76" s="1427"/>
      <c r="BD76" s="1427"/>
      <c r="BE76" s="1427"/>
      <c r="BF76" s="1427"/>
      <c r="BG76" s="1427"/>
      <c r="BH76" s="1427"/>
      <c r="BI76" s="1427"/>
      <c r="BJ76" s="1427"/>
      <c r="BK76" s="1427"/>
      <c r="BL76" s="1427"/>
      <c r="BM76" s="1427"/>
      <c r="BN76" s="1427"/>
      <c r="BO76" s="1427"/>
      <c r="BP76" s="1427"/>
      <c r="BQ76" s="1427"/>
      <c r="BR76" s="1427"/>
      <c r="BS76" s="1427"/>
      <c r="BT76" s="1427"/>
      <c r="BU76" s="1427"/>
      <c r="BV76" s="1427"/>
      <c r="BW76" s="1427"/>
      <c r="BX76" s="1427"/>
      <c r="BY76" s="1427"/>
      <c r="BZ76" s="1427"/>
      <c r="CA76" s="1427"/>
      <c r="CB76" s="1427"/>
      <c r="CC76" s="1427"/>
      <c r="CD76" s="1427"/>
      <c r="CE76" s="1427"/>
      <c r="CF76" s="1427"/>
      <c r="CG76" s="1427"/>
      <c r="CH76" s="1427"/>
      <c r="CI76" s="1427"/>
      <c r="CJ76" s="1427"/>
      <c r="CK76" s="1427"/>
      <c r="CL76" s="1427"/>
      <c r="CM76" s="1427"/>
      <c r="CN76" s="1427"/>
      <c r="CO76" s="1427"/>
      <c r="CP76" s="1428"/>
    </row>
    <row r="77" spans="2:94" s="1278" customFormat="1" ht="30" customHeight="1" thickBot="1" x14ac:dyDescent="0.35">
      <c r="B77" s="1729"/>
      <c r="C77" s="1446" t="s">
        <v>1340</v>
      </c>
      <c r="D77" s="1446" t="s">
        <v>1341</v>
      </c>
      <c r="E77" s="1280" t="s">
        <v>1326</v>
      </c>
      <c r="F77" s="1279"/>
      <c r="G77" s="1279"/>
      <c r="H77" s="1279" t="s">
        <v>163</v>
      </c>
      <c r="I77" s="1283"/>
      <c r="J77" s="1282"/>
      <c r="K77" s="1282"/>
      <c r="L77" s="1282"/>
      <c r="M77" s="1282"/>
      <c r="N77" s="1434" t="str">
        <f>IF((N71+N72)*N74&lt;&gt;0,(N71+N72)*N74,"")</f>
        <v/>
      </c>
      <c r="O77" s="1435">
        <v>8.4548485668316326E-2</v>
      </c>
      <c r="P77" s="1435">
        <v>0.20308782871559328</v>
      </c>
      <c r="Q77" s="1435">
        <v>0.39079450000331428</v>
      </c>
      <c r="R77" s="1435">
        <v>0.56292363391911804</v>
      </c>
      <c r="S77" s="1435">
        <v>0.72040375053962524</v>
      </c>
      <c r="T77" s="1435">
        <v>0.86411535459359634</v>
      </c>
      <c r="U77" s="1435">
        <v>1.166843842466863</v>
      </c>
      <c r="V77" s="1435">
        <v>1.6096267230248311</v>
      </c>
      <c r="W77" s="1435">
        <v>2.3354699875020963</v>
      </c>
      <c r="X77" s="1435">
        <v>2.9996021833946318</v>
      </c>
      <c r="Y77" s="1435">
        <v>3.4404435166922727</v>
      </c>
      <c r="Z77" s="1435">
        <v>3.2838487891238803</v>
      </c>
      <c r="AA77" s="1435">
        <v>3.1339106880386107</v>
      </c>
      <c r="AB77" s="1435">
        <v>2.9903580808103269</v>
      </c>
      <c r="AC77" s="1435">
        <v>2.8529305600959343</v>
      </c>
      <c r="AD77" s="1435">
        <v>2.7213780285077882</v>
      </c>
      <c r="AE77" s="1435">
        <v>2.5954602991110076</v>
      </c>
      <c r="AF77" s="1435">
        <v>2.4749467111503156</v>
      </c>
      <c r="AG77" s="1435">
        <v>2.3596157604332846</v>
      </c>
      <c r="AH77" s="1435">
        <v>2.2492547438181374</v>
      </c>
      <c r="AI77" s="1435">
        <v>2.1436594172748573</v>
      </c>
      <c r="AJ77" s="1435">
        <v>2.042633667008162</v>
      </c>
      <c r="AK77" s="1435">
        <v>1.9459891931499336</v>
      </c>
      <c r="AL77" s="1435">
        <v>1.8535452055471069</v>
      </c>
      <c r="AM77" s="1435">
        <v>1.765128131188666</v>
      </c>
      <c r="AN77" s="1435">
        <v>1.6831017885819841</v>
      </c>
      <c r="AO77" s="1435">
        <v>1.6058270503642371</v>
      </c>
      <c r="AP77" s="1435">
        <v>1.5342161183892553</v>
      </c>
      <c r="AQ77" s="1435">
        <v>1.4656120933524903</v>
      </c>
      <c r="AR77" s="1435">
        <v>1.3998935002920949</v>
      </c>
      <c r="AS77" s="1435">
        <v>1.3434336590705376</v>
      </c>
      <c r="AT77" s="1435">
        <v>1.2942715641265894</v>
      </c>
      <c r="AU77" s="1435">
        <v>1.2518786493880272</v>
      </c>
      <c r="AV77" s="1435">
        <v>1.2206534655336339</v>
      </c>
      <c r="AW77" s="1435">
        <v>1.19018521030376</v>
      </c>
      <c r="AX77" s="1435">
        <v>1.1373715920400893</v>
      </c>
      <c r="AY77" s="1435">
        <v>1.086624817889362</v>
      </c>
      <c r="AZ77" s="1435">
        <v>1.0378692928758566</v>
      </c>
      <c r="BA77" s="1435">
        <v>0.99103207223574608</v>
      </c>
      <c r="BB77" s="1435">
        <v>0.94604277116578384</v>
      </c>
      <c r="BC77" s="1435">
        <v>0.91241903690422099</v>
      </c>
      <c r="BD77" s="1435">
        <v>0.88460458847047652</v>
      </c>
      <c r="BE77" s="1435">
        <v>0.86667166996710399</v>
      </c>
      <c r="BF77" s="1435">
        <v>0.84903294529339035</v>
      </c>
      <c r="BG77" s="1435">
        <v>0.83168649009075335</v>
      </c>
      <c r="BH77" s="1435">
        <v>0.81463024252385829</v>
      </c>
      <c r="BI77" s="1435">
        <v>0.81793140048306967</v>
      </c>
      <c r="BJ77" s="1435">
        <v>0.83983401985079242</v>
      </c>
      <c r="BK77" s="1435">
        <v>0.89760152279455929</v>
      </c>
      <c r="BL77" s="1435">
        <v>0.95129146677914955</v>
      </c>
      <c r="BM77" s="1435">
        <v>0.91312079333292751</v>
      </c>
      <c r="BN77" s="1435">
        <v>0.8769420637409262</v>
      </c>
      <c r="BO77" s="1435">
        <v>0.84321352870819322</v>
      </c>
      <c r="BP77" s="1435">
        <v>0.81070582090484633</v>
      </c>
      <c r="BQ77" s="1435">
        <v>0.77937643732282991</v>
      </c>
      <c r="BR77" s="1435">
        <v>0.74918431518539297</v>
      </c>
      <c r="BS77" s="1435">
        <v>0.72257161559078509</v>
      </c>
      <c r="BT77" s="1435">
        <v>0.69928315520780349</v>
      </c>
      <c r="BU77" s="1435">
        <v>0.68141704883111498</v>
      </c>
      <c r="BV77" s="1435">
        <v>0.66399845921792156</v>
      </c>
      <c r="BW77" s="1435">
        <v>0.63599109825503286</v>
      </c>
      <c r="BX77" s="1435">
        <v>0.60905194003906693</v>
      </c>
      <c r="BY77" s="1435">
        <v>0.58314251882877255</v>
      </c>
      <c r="BZ77" s="1435">
        <v>0.55822570341050493</v>
      </c>
      <c r="CA77" s="1435">
        <v>0.53426565199063758</v>
      </c>
      <c r="CB77" s="1435">
        <v>0.51122776858347496</v>
      </c>
      <c r="CC77" s="1435">
        <v>0.48907866084581098</v>
      </c>
      <c r="CD77" s="1435">
        <v>0.46778609931086401</v>
      </c>
      <c r="CE77" s="1435">
        <v>0.44731897797584014</v>
      </c>
      <c r="CF77" s="1435">
        <v>0.42764727619885651</v>
      </c>
      <c r="CG77" s="1435">
        <v>0.4087420218623849</v>
      </c>
      <c r="CH77" s="1435">
        <v>0.39057525576176483</v>
      </c>
      <c r="CI77" s="1435">
        <v>0.37311999717866973</v>
      </c>
      <c r="CJ77" s="1435">
        <v>0.35635021060071148</v>
      </c>
      <c r="CK77" s="1435">
        <v>0.3402407735496239</v>
      </c>
      <c r="CL77" s="1435">
        <v>0.32692058011548591</v>
      </c>
      <c r="CM77" s="1435">
        <v>0.31432526217560386</v>
      </c>
      <c r="CN77" s="1435">
        <v>0.30269136041588057</v>
      </c>
      <c r="CO77" s="1435">
        <v>0.2914379789905544</v>
      </c>
      <c r="CP77" s="1436">
        <v>0.28055347675408066</v>
      </c>
    </row>
    <row r="78" spans="2:94" s="1278" customFormat="1" ht="30" customHeight="1" thickBot="1" x14ac:dyDescent="0.35">
      <c r="B78" s="1730"/>
      <c r="C78" s="1442" t="s">
        <v>1340</v>
      </c>
      <c r="D78" s="1438" t="s">
        <v>1341</v>
      </c>
      <c r="E78" s="1280" t="s">
        <v>1327</v>
      </c>
      <c r="F78" s="1279"/>
      <c r="G78" s="1279"/>
      <c r="H78" s="1279" t="s">
        <v>163</v>
      </c>
      <c r="I78" s="1731">
        <f>IF(SUM($N77:$CP77)&lt;&gt;0,SUM($N77:$CP77),"")</f>
        <v>93.032741961431455</v>
      </c>
      <c r="J78" s="1732"/>
      <c r="K78" s="1732"/>
      <c r="L78" s="1732"/>
      <c r="M78" s="1733"/>
    </row>
    <row r="79" spans="2:94" ht="30" customHeight="1" x14ac:dyDescent="0.3">
      <c r="B79" s="1728" t="s">
        <v>1313</v>
      </c>
      <c r="C79" s="1446" t="s">
        <v>1342</v>
      </c>
      <c r="D79" s="1446" t="s">
        <v>1343</v>
      </c>
      <c r="E79" s="1269" t="s">
        <v>1316</v>
      </c>
      <c r="F79" s="1288"/>
      <c r="G79" s="1288"/>
      <c r="H79" s="1270" t="s">
        <v>163</v>
      </c>
      <c r="I79" s="1266"/>
      <c r="J79" s="1265"/>
      <c r="K79" s="1265"/>
      <c r="L79" s="1265"/>
      <c r="M79" s="1265"/>
      <c r="N79" s="1423"/>
      <c r="O79" s="1424">
        <v>0.89788907543080898</v>
      </c>
      <c r="P79" s="1424">
        <v>1.3468336131462133</v>
      </c>
      <c r="Q79" s="1424">
        <v>2.2447226885770224</v>
      </c>
      <c r="R79" s="1424">
        <v>2.2447226885770224</v>
      </c>
      <c r="S79" s="1424">
        <v>2.2447226885770224</v>
      </c>
      <c r="T79" s="1424">
        <v>2.2447226885770224</v>
      </c>
      <c r="U79" s="1424">
        <v>4.4894453771540448</v>
      </c>
      <c r="V79" s="1424">
        <v>6.7341680657310672</v>
      </c>
      <c r="W79" s="1424">
        <v>11.223613442885112</v>
      </c>
      <c r="X79" s="1424">
        <v>11.223613442885112</v>
      </c>
      <c r="Y79" s="1424">
        <v>0</v>
      </c>
      <c r="Z79" s="1424">
        <v>0</v>
      </c>
      <c r="AA79" s="1424">
        <v>0</v>
      </c>
      <c r="AB79" s="1424">
        <v>0</v>
      </c>
      <c r="AC79" s="1424">
        <v>0</v>
      </c>
      <c r="AD79" s="1424">
        <v>0</v>
      </c>
      <c r="AE79" s="1424">
        <v>0</v>
      </c>
      <c r="AF79" s="1424">
        <v>0</v>
      </c>
      <c r="AG79" s="1424">
        <v>0</v>
      </c>
      <c r="AH79" s="1424">
        <v>0</v>
      </c>
      <c r="AI79" s="1424">
        <v>0</v>
      </c>
      <c r="AJ79" s="1424">
        <v>0</v>
      </c>
      <c r="AK79" s="1424">
        <v>0</v>
      </c>
      <c r="AL79" s="1424">
        <v>0</v>
      </c>
      <c r="AM79" s="1424">
        <v>0</v>
      </c>
      <c r="AN79" s="1424">
        <v>6.1897111540455158E-2</v>
      </c>
      <c r="AO79" s="1424">
        <v>9.2845667310682736E-2</v>
      </c>
      <c r="AP79" s="1424">
        <v>0.15474277885113788</v>
      </c>
      <c r="AQ79" s="1424">
        <v>0.15474277885113788</v>
      </c>
      <c r="AR79" s="1424">
        <v>0.15474277885113788</v>
      </c>
      <c r="AS79" s="1424">
        <v>0.15474277885113788</v>
      </c>
      <c r="AT79" s="1424">
        <v>0.30948555770227576</v>
      </c>
      <c r="AU79" s="1424">
        <v>0.46422833655341367</v>
      </c>
      <c r="AV79" s="1424">
        <v>0.77371389425568948</v>
      </c>
      <c r="AW79" s="1424">
        <v>0.77371389425568948</v>
      </c>
      <c r="AX79" s="1424">
        <v>0</v>
      </c>
      <c r="AY79" s="1424">
        <v>0</v>
      </c>
      <c r="AZ79" s="1424">
        <v>0</v>
      </c>
      <c r="BA79" s="1424">
        <v>0</v>
      </c>
      <c r="BB79" s="1424">
        <v>0</v>
      </c>
      <c r="BC79" s="1424">
        <v>0.34640682164584613</v>
      </c>
      <c r="BD79" s="1424">
        <v>0.51961023246876925</v>
      </c>
      <c r="BE79" s="1424">
        <v>0.86601705411461538</v>
      </c>
      <c r="BF79" s="1424">
        <v>0.86601705411461538</v>
      </c>
      <c r="BG79" s="1424">
        <v>0.86601705411461538</v>
      </c>
      <c r="BH79" s="1424">
        <v>0.86601705411461538</v>
      </c>
      <c r="BI79" s="1424">
        <v>1.7320341082292308</v>
      </c>
      <c r="BJ79" s="1424">
        <v>2.5980511623438463</v>
      </c>
      <c r="BK79" s="1424">
        <v>4.3300852705730764</v>
      </c>
      <c r="BL79" s="1424">
        <v>4.3300852705730764</v>
      </c>
      <c r="BM79" s="1424">
        <v>6.1897111540455158E-2</v>
      </c>
      <c r="BN79" s="1424">
        <v>9.2845667310682736E-2</v>
      </c>
      <c r="BO79" s="1424">
        <v>0.15474277885113788</v>
      </c>
      <c r="BP79" s="1424">
        <v>0.15474277885113788</v>
      </c>
      <c r="BQ79" s="1424">
        <v>0.15474277885113788</v>
      </c>
      <c r="BR79" s="1424">
        <v>0.15474277885113788</v>
      </c>
      <c r="BS79" s="1424">
        <v>0.30948555770227576</v>
      </c>
      <c r="BT79" s="1424">
        <v>0.46422833655341367</v>
      </c>
      <c r="BU79" s="1424">
        <v>0.77371389425568948</v>
      </c>
      <c r="BV79" s="1424">
        <v>0.77371389425568948</v>
      </c>
      <c r="BW79" s="1424">
        <v>0</v>
      </c>
      <c r="BX79" s="1424">
        <v>0</v>
      </c>
      <c r="BY79" s="1424">
        <v>0</v>
      </c>
      <c r="BZ79" s="1424">
        <v>0</v>
      </c>
      <c r="CA79" s="1424">
        <v>0</v>
      </c>
      <c r="CB79" s="1424">
        <v>0</v>
      </c>
      <c r="CC79" s="1424">
        <v>0</v>
      </c>
      <c r="CD79" s="1424">
        <v>0</v>
      </c>
      <c r="CE79" s="1424">
        <v>0</v>
      </c>
      <c r="CF79" s="1424">
        <v>0</v>
      </c>
      <c r="CG79" s="1424">
        <v>0</v>
      </c>
      <c r="CH79" s="1424">
        <v>0</v>
      </c>
      <c r="CI79" s="1424">
        <v>0</v>
      </c>
      <c r="CJ79" s="1424">
        <v>0</v>
      </c>
      <c r="CK79" s="1424">
        <v>0</v>
      </c>
      <c r="CL79" s="1424">
        <v>6.1897111540455158E-2</v>
      </c>
      <c r="CM79" s="1424">
        <v>9.2845667310682736E-2</v>
      </c>
      <c r="CN79" s="1424">
        <v>0.15474277885113788</v>
      </c>
      <c r="CO79" s="1424">
        <v>0.15474277885113788</v>
      </c>
      <c r="CP79" s="1425">
        <v>0.15474277885113788</v>
      </c>
    </row>
    <row r="80" spans="2:94" ht="30" customHeight="1" x14ac:dyDescent="0.3">
      <c r="B80" s="1729"/>
      <c r="C80" s="1446" t="s">
        <v>1342</v>
      </c>
      <c r="D80" s="1446" t="s">
        <v>1343</v>
      </c>
      <c r="E80" s="1260" t="s">
        <v>1317</v>
      </c>
      <c r="F80" s="1287"/>
      <c r="G80" s="1287"/>
      <c r="H80" s="1264" t="s">
        <v>1318</v>
      </c>
      <c r="I80" s="1261"/>
      <c r="J80" s="1259"/>
      <c r="K80" s="1259"/>
      <c r="L80" s="1259"/>
      <c r="M80" s="1259"/>
      <c r="N80" s="1426"/>
      <c r="O80" s="1427">
        <v>0</v>
      </c>
      <c r="P80" s="1427">
        <v>0</v>
      </c>
      <c r="Q80" s="1427">
        <v>0</v>
      </c>
      <c r="R80" s="1427">
        <v>0</v>
      </c>
      <c r="S80" s="1427">
        <v>0</v>
      </c>
      <c r="T80" s="1427">
        <v>0</v>
      </c>
      <c r="U80" s="1427">
        <v>0</v>
      </c>
      <c r="V80" s="1427">
        <v>0</v>
      </c>
      <c r="W80" s="1427">
        <v>0</v>
      </c>
      <c r="X80" s="1427">
        <v>0</v>
      </c>
      <c r="Y80" s="1427">
        <v>1.2095493565909314</v>
      </c>
      <c r="Z80" s="1427">
        <v>1.2095493565909314</v>
      </c>
      <c r="AA80" s="1427">
        <v>1.2095493565909314</v>
      </c>
      <c r="AB80" s="1427">
        <v>1.2095493565909314</v>
      </c>
      <c r="AC80" s="1427">
        <v>1.2095493565909314</v>
      </c>
      <c r="AD80" s="1427">
        <v>1.2095493565909314</v>
      </c>
      <c r="AE80" s="1427">
        <v>1.2095493565909314</v>
      </c>
      <c r="AF80" s="1427">
        <v>1.2095493565909314</v>
      </c>
      <c r="AG80" s="1427">
        <v>1.2095493565909314</v>
      </c>
      <c r="AH80" s="1427">
        <v>1.2095493565909314</v>
      </c>
      <c r="AI80" s="1427">
        <v>1.2095493565909314</v>
      </c>
      <c r="AJ80" s="1427">
        <v>1.2095493565909314</v>
      </c>
      <c r="AK80" s="1427">
        <v>1.2095493565909314</v>
      </c>
      <c r="AL80" s="1427">
        <v>1.2095493565909314</v>
      </c>
      <c r="AM80" s="1427">
        <v>1.2095493565909314</v>
      </c>
      <c r="AN80" s="1427">
        <v>1.2095493565909314</v>
      </c>
      <c r="AO80" s="1427">
        <v>1.2095493565909314</v>
      </c>
      <c r="AP80" s="1427">
        <v>1.2095493565909314</v>
      </c>
      <c r="AQ80" s="1427">
        <v>1.2095493565909314</v>
      </c>
      <c r="AR80" s="1427">
        <v>1.2095493565909314</v>
      </c>
      <c r="AS80" s="1427">
        <v>1.2095493565909314</v>
      </c>
      <c r="AT80" s="1427">
        <v>1.2095493565909314</v>
      </c>
      <c r="AU80" s="1427">
        <v>1.2095493565909314</v>
      </c>
      <c r="AV80" s="1427">
        <v>1.2095493565909314</v>
      </c>
      <c r="AW80" s="1427">
        <v>1.2095493565909314</v>
      </c>
      <c r="AX80" s="1427">
        <v>1.2095493565909314</v>
      </c>
      <c r="AY80" s="1427">
        <v>1.2095493565909314</v>
      </c>
      <c r="AZ80" s="1427">
        <v>1.2095493565909314</v>
      </c>
      <c r="BA80" s="1427">
        <v>1.2095493565909314</v>
      </c>
      <c r="BB80" s="1427">
        <v>1.2095493565909314</v>
      </c>
      <c r="BC80" s="1427">
        <v>1.2095493565909314</v>
      </c>
      <c r="BD80" s="1427">
        <v>1.2095493565909314</v>
      </c>
      <c r="BE80" s="1427">
        <v>1.2095493565909314</v>
      </c>
      <c r="BF80" s="1427">
        <v>1.2095493565909314</v>
      </c>
      <c r="BG80" s="1427">
        <v>1.2095493565909314</v>
      </c>
      <c r="BH80" s="1427">
        <v>1.2095493565909314</v>
      </c>
      <c r="BI80" s="1427">
        <v>1.2095493565909314</v>
      </c>
      <c r="BJ80" s="1427">
        <v>1.2095493565909314</v>
      </c>
      <c r="BK80" s="1427">
        <v>1.2095493565909314</v>
      </c>
      <c r="BL80" s="1427">
        <v>1.2095493565909314</v>
      </c>
      <c r="BM80" s="1427">
        <v>1.2095493565909314</v>
      </c>
      <c r="BN80" s="1427">
        <v>1.2095493565909314</v>
      </c>
      <c r="BO80" s="1427">
        <v>1.2095493565909314</v>
      </c>
      <c r="BP80" s="1427">
        <v>1.2095493565909314</v>
      </c>
      <c r="BQ80" s="1427">
        <v>1.2095493565909314</v>
      </c>
      <c r="BR80" s="1427">
        <v>1.2095493565909314</v>
      </c>
      <c r="BS80" s="1427">
        <v>1.2095493565909314</v>
      </c>
      <c r="BT80" s="1427">
        <v>1.2095493565909314</v>
      </c>
      <c r="BU80" s="1427">
        <v>1.2095493565909314</v>
      </c>
      <c r="BV80" s="1427">
        <v>1.2095493565909314</v>
      </c>
      <c r="BW80" s="1427">
        <v>1.2095493565909314</v>
      </c>
      <c r="BX80" s="1427">
        <v>1.2095493565909314</v>
      </c>
      <c r="BY80" s="1427">
        <v>1.2095493565909314</v>
      </c>
      <c r="BZ80" s="1427">
        <v>1.2095493565909314</v>
      </c>
      <c r="CA80" s="1427">
        <v>1.2095493565909314</v>
      </c>
      <c r="CB80" s="1427">
        <v>1.2095493565909314</v>
      </c>
      <c r="CC80" s="1427">
        <v>1.2095493565909314</v>
      </c>
      <c r="CD80" s="1427">
        <v>1.2095493565909314</v>
      </c>
      <c r="CE80" s="1427">
        <v>1.2095493565909314</v>
      </c>
      <c r="CF80" s="1427">
        <v>1.2095493565909314</v>
      </c>
      <c r="CG80" s="1427">
        <v>1.2095493565909314</v>
      </c>
      <c r="CH80" s="1427">
        <v>1.2095493565909314</v>
      </c>
      <c r="CI80" s="1427">
        <v>1.2095493565909314</v>
      </c>
      <c r="CJ80" s="1427">
        <v>1.2095493565909314</v>
      </c>
      <c r="CK80" s="1427">
        <v>1.2095493565909314</v>
      </c>
      <c r="CL80" s="1427">
        <v>1.2095493565909314</v>
      </c>
      <c r="CM80" s="1427">
        <v>1.2095493565909314</v>
      </c>
      <c r="CN80" s="1427">
        <v>1.2095493565909314</v>
      </c>
      <c r="CO80" s="1427">
        <v>1.2095493565909314</v>
      </c>
      <c r="CP80" s="1428">
        <v>1.2095493565909314</v>
      </c>
    </row>
    <row r="81" spans="2:94" ht="30" customHeight="1" x14ac:dyDescent="0.3">
      <c r="B81" s="1729"/>
      <c r="C81" s="1446" t="s">
        <v>1342</v>
      </c>
      <c r="D81" s="1446" t="s">
        <v>1343</v>
      </c>
      <c r="E81" s="1260" t="s">
        <v>1319</v>
      </c>
      <c r="F81" s="1287"/>
      <c r="G81" s="1287"/>
      <c r="H81" s="1264" t="s">
        <v>1318</v>
      </c>
      <c r="I81" s="1261"/>
      <c r="J81" s="1259"/>
      <c r="K81" s="1259"/>
      <c r="L81" s="1259"/>
      <c r="M81" s="1259"/>
      <c r="N81" s="1426"/>
      <c r="O81" s="1427">
        <v>4.322229459190035E-2</v>
      </c>
      <c r="P81" s="1427">
        <v>0.10755186509675088</v>
      </c>
      <c r="Q81" s="1427">
        <v>0.21434792311900186</v>
      </c>
      <c r="R81" s="1427">
        <v>0.31988430268375295</v>
      </c>
      <c r="S81" s="1427">
        <v>0.42416100379100402</v>
      </c>
      <c r="T81" s="1427">
        <v>0.52717802644075529</v>
      </c>
      <c r="U81" s="1427">
        <v>0.7369911071127575</v>
      </c>
      <c r="V81" s="1427">
        <v>1.0523405673495105</v>
      </c>
      <c r="W81" s="1427">
        <v>1.5800224651732655</v>
      </c>
      <c r="X81" s="1427">
        <v>2.101405970709521</v>
      </c>
      <c r="Y81" s="1427">
        <v>2.0762124015595234</v>
      </c>
      <c r="Z81" s="1427">
        <v>2.0510188324095249</v>
      </c>
      <c r="AA81" s="1427">
        <v>2.0258252632595268</v>
      </c>
      <c r="AB81" s="1427">
        <v>2.0006316941095283</v>
      </c>
      <c r="AC81" s="1427">
        <v>1.9754381249595301</v>
      </c>
      <c r="AD81" s="1427">
        <v>1.9502445558095318</v>
      </c>
      <c r="AE81" s="1427">
        <v>1.9250509866595338</v>
      </c>
      <c r="AF81" s="1427">
        <v>1.8998574175095355</v>
      </c>
      <c r="AG81" s="1427">
        <v>1.874663848359537</v>
      </c>
      <c r="AH81" s="1427">
        <v>1.8494702792095388</v>
      </c>
      <c r="AI81" s="1427">
        <v>1.8242767100595407</v>
      </c>
      <c r="AJ81" s="1427">
        <v>1.7990831409095425</v>
      </c>
      <c r="AK81" s="1427">
        <v>1.7738895717595442</v>
      </c>
      <c r="AL81" s="1427">
        <v>1.7486960026095459</v>
      </c>
      <c r="AM81" s="1427">
        <v>1.7235024334595477</v>
      </c>
      <c r="AN81" s="1427">
        <v>1.7001162599665309</v>
      </c>
      <c r="AO81" s="1427">
        <v>1.6776337843020046</v>
      </c>
      <c r="AP81" s="1427">
        <v>1.6569587042944596</v>
      </c>
      <c r="AQ81" s="1427">
        <v>1.6362836242869145</v>
      </c>
      <c r="AR81" s="1427">
        <v>1.6156085442793697</v>
      </c>
      <c r="AS81" s="1427">
        <v>1.5949334642718245</v>
      </c>
      <c r="AT81" s="1427">
        <v>1.5787768734067327</v>
      </c>
      <c r="AU81" s="1427">
        <v>1.5671387716840939</v>
      </c>
      <c r="AV81" s="1427">
        <v>1.564537648246362</v>
      </c>
      <c r="AW81" s="1427">
        <v>1.5619365248086297</v>
      </c>
      <c r="AX81" s="1427">
        <v>1.5367429556586316</v>
      </c>
      <c r="AY81" s="1427">
        <v>1.5115493865086331</v>
      </c>
      <c r="AZ81" s="1427">
        <v>1.4863558173586353</v>
      </c>
      <c r="BA81" s="1427">
        <v>1.4611622482086366</v>
      </c>
      <c r="BB81" s="1427">
        <v>1.4359686790586386</v>
      </c>
      <c r="BC81" s="1427">
        <v>1.4208901891006991</v>
      </c>
      <c r="BD81" s="1427">
        <v>1.4108692387387889</v>
      </c>
      <c r="BE81" s="1427">
        <v>1.4109633675689375</v>
      </c>
      <c r="BF81" s="1427">
        <v>1.4110574963990856</v>
      </c>
      <c r="BG81" s="1427">
        <v>1.4111516252292344</v>
      </c>
      <c r="BH81" s="1427">
        <v>1.4112457540593828</v>
      </c>
      <c r="BI81" s="1427">
        <v>1.4366275808696782</v>
      </c>
      <c r="BJ81" s="1427">
        <v>1.4872971056601205</v>
      </c>
      <c r="BK81" s="1427">
        <v>1.5885420264108561</v>
      </c>
      <c r="BL81" s="1427">
        <v>1.6897869471615912</v>
      </c>
      <c r="BM81" s="1427">
        <v>1.6664007736685744</v>
      </c>
      <c r="BN81" s="1427">
        <v>1.6439182980040479</v>
      </c>
      <c r="BO81" s="1427">
        <v>1.6232432179965031</v>
      </c>
      <c r="BP81" s="1427">
        <v>1.6025681379889578</v>
      </c>
      <c r="BQ81" s="1427">
        <v>1.581893057981413</v>
      </c>
      <c r="BR81" s="1427">
        <v>1.5612179779738677</v>
      </c>
      <c r="BS81" s="1427">
        <v>1.5450613871087762</v>
      </c>
      <c r="BT81" s="1427">
        <v>1.5334232853861374</v>
      </c>
      <c r="BU81" s="1427">
        <v>1.5308221619484057</v>
      </c>
      <c r="BV81" s="1427">
        <v>1.5282210385106731</v>
      </c>
      <c r="BW81" s="1427">
        <v>1.5030274693606753</v>
      </c>
      <c r="BX81" s="1427">
        <v>1.4778339002106768</v>
      </c>
      <c r="BY81" s="1427">
        <v>1.4526403310606786</v>
      </c>
      <c r="BZ81" s="1427">
        <v>1.4274467619106803</v>
      </c>
      <c r="CA81" s="1427">
        <v>1.4022531927606823</v>
      </c>
      <c r="CB81" s="1427">
        <v>1.377059623610684</v>
      </c>
      <c r="CC81" s="1427">
        <v>1.3518660544606858</v>
      </c>
      <c r="CD81" s="1427">
        <v>1.3266724853106875</v>
      </c>
      <c r="CE81" s="1427">
        <v>1.3014789161606892</v>
      </c>
      <c r="CF81" s="1427">
        <v>1.2762853470106912</v>
      </c>
      <c r="CG81" s="1427">
        <v>1.2510917778606929</v>
      </c>
      <c r="CH81" s="1427">
        <v>1.2258982087106947</v>
      </c>
      <c r="CI81" s="1427">
        <v>1.2007046395606966</v>
      </c>
      <c r="CJ81" s="1427">
        <v>1.1755110704106984</v>
      </c>
      <c r="CK81" s="1427">
        <v>1.1503175012607001</v>
      </c>
      <c r="CL81" s="1427">
        <v>1.1269313277676831</v>
      </c>
      <c r="CM81" s="1427">
        <v>1.104448852103157</v>
      </c>
      <c r="CN81" s="1427">
        <v>1.0837737720956118</v>
      </c>
      <c r="CO81" s="1427">
        <v>1.063098692088067</v>
      </c>
      <c r="CP81" s="1428">
        <v>1.0424236120805219</v>
      </c>
    </row>
    <row r="82" spans="2:94" ht="30" customHeight="1" x14ac:dyDescent="0.3">
      <c r="B82" s="1729"/>
      <c r="C82" s="1446" t="s">
        <v>1342</v>
      </c>
      <c r="D82" s="1446" t="s">
        <v>1343</v>
      </c>
      <c r="E82" s="1260" t="s">
        <v>1320</v>
      </c>
      <c r="F82" s="1287"/>
      <c r="G82" s="1287"/>
      <c r="H82" s="1264" t="s">
        <v>1318</v>
      </c>
      <c r="I82" s="1261"/>
      <c r="J82" s="1259"/>
      <c r="K82" s="1259"/>
      <c r="L82" s="1259"/>
      <c r="M82" s="1259"/>
      <c r="N82" s="1426"/>
      <c r="O82" s="1427"/>
      <c r="P82" s="1427">
        <v>3.5000000000000003E-2</v>
      </c>
      <c r="Q82" s="1427">
        <v>3.5000000000000003E-2</v>
      </c>
      <c r="R82" s="1427">
        <v>3.5000000000000003E-2</v>
      </c>
      <c r="S82" s="1427">
        <v>3.5000000000000003E-2</v>
      </c>
      <c r="T82" s="1427">
        <v>3.5000000000000003E-2</v>
      </c>
      <c r="U82" s="1427">
        <v>3.5000000000000003E-2</v>
      </c>
      <c r="V82" s="1427">
        <v>3.5000000000000003E-2</v>
      </c>
      <c r="W82" s="1427">
        <v>3.5000000000000003E-2</v>
      </c>
      <c r="X82" s="1427">
        <v>3.5000000000000003E-2</v>
      </c>
      <c r="Y82" s="1427">
        <v>3.5000000000000003E-2</v>
      </c>
      <c r="Z82" s="1427">
        <v>3.5000000000000003E-2</v>
      </c>
      <c r="AA82" s="1427">
        <v>3.5000000000000003E-2</v>
      </c>
      <c r="AB82" s="1427">
        <v>3.5000000000000003E-2</v>
      </c>
      <c r="AC82" s="1427">
        <v>3.5000000000000003E-2</v>
      </c>
      <c r="AD82" s="1427">
        <v>3.5000000000000003E-2</v>
      </c>
      <c r="AE82" s="1427">
        <v>3.5000000000000003E-2</v>
      </c>
      <c r="AF82" s="1427">
        <v>3.5000000000000003E-2</v>
      </c>
      <c r="AG82" s="1427">
        <v>3.5000000000000003E-2</v>
      </c>
      <c r="AH82" s="1427">
        <v>3.5000000000000003E-2</v>
      </c>
      <c r="AI82" s="1427">
        <v>3.5000000000000003E-2</v>
      </c>
      <c r="AJ82" s="1427">
        <v>3.5000000000000003E-2</v>
      </c>
      <c r="AK82" s="1427">
        <v>3.5000000000000003E-2</v>
      </c>
      <c r="AL82" s="1427">
        <v>3.5000000000000003E-2</v>
      </c>
      <c r="AM82" s="1427">
        <v>3.5000000000000003E-2</v>
      </c>
      <c r="AN82" s="1427">
        <v>3.5000000000000003E-2</v>
      </c>
      <c r="AO82" s="1427">
        <v>3.5000000000000003E-2</v>
      </c>
      <c r="AP82" s="1427">
        <v>3.5000000000000003E-2</v>
      </c>
      <c r="AQ82" s="1427">
        <v>3.5000000000000003E-2</v>
      </c>
      <c r="AR82" s="1427">
        <v>3.5000000000000003E-2</v>
      </c>
      <c r="AS82" s="1427">
        <v>0.03</v>
      </c>
      <c r="AT82" s="1427">
        <v>0.03</v>
      </c>
      <c r="AU82" s="1427">
        <v>0.03</v>
      </c>
      <c r="AV82" s="1427">
        <v>0.03</v>
      </c>
      <c r="AW82" s="1427">
        <v>0.03</v>
      </c>
      <c r="AX82" s="1427">
        <v>0.03</v>
      </c>
      <c r="AY82" s="1427">
        <v>0.03</v>
      </c>
      <c r="AZ82" s="1427">
        <v>0.03</v>
      </c>
      <c r="BA82" s="1427">
        <v>0.03</v>
      </c>
      <c r="BB82" s="1427">
        <v>0.03</v>
      </c>
      <c r="BC82" s="1427">
        <v>0.03</v>
      </c>
      <c r="BD82" s="1427">
        <v>0.03</v>
      </c>
      <c r="BE82" s="1427">
        <v>0.03</v>
      </c>
      <c r="BF82" s="1427">
        <v>0.03</v>
      </c>
      <c r="BG82" s="1427">
        <v>0.03</v>
      </c>
      <c r="BH82" s="1427">
        <v>0.03</v>
      </c>
      <c r="BI82" s="1427">
        <v>0.03</v>
      </c>
      <c r="BJ82" s="1427">
        <v>0.03</v>
      </c>
      <c r="BK82" s="1427">
        <v>0.03</v>
      </c>
      <c r="BL82" s="1427">
        <v>0.03</v>
      </c>
      <c r="BM82" s="1427">
        <v>0.03</v>
      </c>
      <c r="BN82" s="1427">
        <v>0.03</v>
      </c>
      <c r="BO82" s="1427">
        <v>0.03</v>
      </c>
      <c r="BP82" s="1427">
        <v>0.03</v>
      </c>
      <c r="BQ82" s="1427">
        <v>0.03</v>
      </c>
      <c r="BR82" s="1427">
        <v>0.03</v>
      </c>
      <c r="BS82" s="1427">
        <v>0.03</v>
      </c>
      <c r="BT82" s="1427">
        <v>0.03</v>
      </c>
      <c r="BU82" s="1427">
        <v>0.03</v>
      </c>
      <c r="BV82" s="1427">
        <v>0.03</v>
      </c>
      <c r="BW82" s="1427">
        <v>0.03</v>
      </c>
      <c r="BX82" s="1427">
        <v>0.03</v>
      </c>
      <c r="BY82" s="1427">
        <v>0.03</v>
      </c>
      <c r="BZ82" s="1427">
        <v>0.03</v>
      </c>
      <c r="CA82" s="1427">
        <v>0.03</v>
      </c>
      <c r="CB82" s="1427">
        <v>0.03</v>
      </c>
      <c r="CC82" s="1427">
        <v>0.03</v>
      </c>
      <c r="CD82" s="1427">
        <v>0.03</v>
      </c>
      <c r="CE82" s="1427">
        <v>0.03</v>
      </c>
      <c r="CF82" s="1427">
        <v>0.03</v>
      </c>
      <c r="CG82" s="1427">
        <v>0.03</v>
      </c>
      <c r="CH82" s="1427">
        <v>0.03</v>
      </c>
      <c r="CI82" s="1427">
        <v>0.03</v>
      </c>
      <c r="CJ82" s="1427">
        <v>0.03</v>
      </c>
      <c r="CK82" s="1427">
        <v>0.03</v>
      </c>
      <c r="CL82" s="1427">
        <v>2.5000000000000001E-2</v>
      </c>
      <c r="CM82" s="1427">
        <v>2.5000000000000001E-2</v>
      </c>
      <c r="CN82" s="1427">
        <v>2.5000000000000001E-2</v>
      </c>
      <c r="CO82" s="1427">
        <v>2.5000000000000001E-2</v>
      </c>
      <c r="CP82" s="1428">
        <v>2.5000000000000001E-2</v>
      </c>
    </row>
    <row r="83" spans="2:94" ht="30" customHeight="1" x14ac:dyDescent="0.3">
      <c r="B83" s="1729"/>
      <c r="C83" s="1446" t="s">
        <v>1342</v>
      </c>
      <c r="D83" s="1446" t="s">
        <v>1343</v>
      </c>
      <c r="E83" s="1260" t="s">
        <v>1321</v>
      </c>
      <c r="F83" s="1287"/>
      <c r="G83" s="1287"/>
      <c r="H83" s="1264" t="s">
        <v>1318</v>
      </c>
      <c r="I83" s="1261"/>
      <c r="J83" s="1259"/>
      <c r="K83" s="1259"/>
      <c r="L83" s="1259"/>
      <c r="M83" s="1259"/>
      <c r="N83" s="1426"/>
      <c r="O83" s="1427">
        <v>1</v>
      </c>
      <c r="P83" s="1427">
        <v>0.96618357487922713</v>
      </c>
      <c r="Q83" s="1427">
        <v>0.93351070036640305</v>
      </c>
      <c r="R83" s="1427">
        <v>0.90194270566802237</v>
      </c>
      <c r="S83" s="1427">
        <v>0.87144222769857238</v>
      </c>
      <c r="T83" s="1427">
        <v>0.84197316685852408</v>
      </c>
      <c r="U83" s="1427">
        <v>0.81350064430775282</v>
      </c>
      <c r="V83" s="1427">
        <v>0.78599096068381924</v>
      </c>
      <c r="W83" s="1427">
        <v>0.75941155621625056</v>
      </c>
      <c r="X83" s="1427">
        <v>0.73373097218961414</v>
      </c>
      <c r="Y83" s="1427">
        <v>0.70891881370977217</v>
      </c>
      <c r="Z83" s="1427">
        <v>0.68494571372924851</v>
      </c>
      <c r="AA83" s="1427">
        <v>0.66178329828912907</v>
      </c>
      <c r="AB83" s="1427">
        <v>0.63940415293635666</v>
      </c>
      <c r="AC83" s="1427">
        <v>0.61778179027667313</v>
      </c>
      <c r="AD83" s="1427">
        <v>0.59689061862480497</v>
      </c>
      <c r="AE83" s="1427">
        <v>0.57670591171478747</v>
      </c>
      <c r="AF83" s="1427">
        <v>0.55720377943457733</v>
      </c>
      <c r="AG83" s="1427">
        <v>0.53836113955031628</v>
      </c>
      <c r="AH83" s="1427">
        <v>0.520155690386779</v>
      </c>
      <c r="AI83" s="1427">
        <v>0.50256588443167061</v>
      </c>
      <c r="AJ83" s="1427">
        <v>0.48557090283253201</v>
      </c>
      <c r="AK83" s="1427">
        <v>0.46915063075606961</v>
      </c>
      <c r="AL83" s="1427">
        <v>0.45328563358074364</v>
      </c>
      <c r="AM83" s="1427">
        <v>0.43795713389443836</v>
      </c>
      <c r="AN83" s="1427">
        <v>0.42314698926998878</v>
      </c>
      <c r="AO83" s="1427">
        <v>0.40883767079225974</v>
      </c>
      <c r="AP83" s="1427">
        <v>0.39501224231136212</v>
      </c>
      <c r="AQ83" s="1427">
        <v>0.38165434039745133</v>
      </c>
      <c r="AR83" s="1427">
        <v>0.36874815497338298</v>
      </c>
      <c r="AS83" s="1427">
        <v>0.35800791744988636</v>
      </c>
      <c r="AT83" s="1427">
        <v>0.34758050237853044</v>
      </c>
      <c r="AU83" s="1427">
        <v>0.33745679842575771</v>
      </c>
      <c r="AV83" s="1427">
        <v>0.32762795963665797</v>
      </c>
      <c r="AW83" s="1427">
        <v>0.31808539770549316</v>
      </c>
      <c r="AX83" s="1427">
        <v>0.30882077447135259</v>
      </c>
      <c r="AY83" s="1427">
        <v>0.29982599463238113</v>
      </c>
      <c r="AZ83" s="1427">
        <v>0.29109319867221467</v>
      </c>
      <c r="BA83" s="1427">
        <v>0.2826147559924414</v>
      </c>
      <c r="BB83" s="1427">
        <v>0.27438325824508875</v>
      </c>
      <c r="BC83" s="1427">
        <v>0.26639151285930945</v>
      </c>
      <c r="BD83" s="1427">
        <v>0.25863253675661113</v>
      </c>
      <c r="BE83" s="1427">
        <v>0.25109955024913699</v>
      </c>
      <c r="BF83" s="1427">
        <v>0.24378597111566697</v>
      </c>
      <c r="BG83" s="1427">
        <v>0.23668540885016209</v>
      </c>
      <c r="BH83" s="1427">
        <v>0.22979165907782728</v>
      </c>
      <c r="BI83" s="1427">
        <v>0.22309869813381289</v>
      </c>
      <c r="BJ83" s="1427">
        <v>0.21660067779981834</v>
      </c>
      <c r="BK83" s="1427">
        <v>0.21029192019399839</v>
      </c>
      <c r="BL83" s="1427">
        <v>0.20416691280970717</v>
      </c>
      <c r="BM83" s="1427">
        <v>0.19822030369874483</v>
      </c>
      <c r="BN83" s="1427">
        <v>0.19244689679489788</v>
      </c>
      <c r="BO83" s="1427">
        <v>0.18684164737368725</v>
      </c>
      <c r="BP83" s="1427">
        <v>0.18139965764435656</v>
      </c>
      <c r="BQ83" s="1427">
        <v>0.17611617247024908</v>
      </c>
      <c r="BR83" s="1427">
        <v>0.17098657521383406</v>
      </c>
      <c r="BS83" s="1427">
        <v>0.1660063837027515</v>
      </c>
      <c r="BT83" s="1427">
        <v>0.16117124631335097</v>
      </c>
      <c r="BU83" s="1427">
        <v>0.15647693816830191</v>
      </c>
      <c r="BV83" s="1427">
        <v>0.1519193574449533</v>
      </c>
      <c r="BW83" s="1427">
        <v>0.1474945217912168</v>
      </c>
      <c r="BX83" s="1427">
        <v>0.14319856484584156</v>
      </c>
      <c r="BY83" s="1427">
        <v>0.13902773286004036</v>
      </c>
      <c r="BZ83" s="1427">
        <v>0.13497838141751492</v>
      </c>
      <c r="CA83" s="1427">
        <v>0.13104697225001449</v>
      </c>
      <c r="CB83" s="1427">
        <v>0.12723007014564514</v>
      </c>
      <c r="CC83" s="1427">
        <v>0.12352433994722828</v>
      </c>
      <c r="CD83" s="1427">
        <v>0.11992654363808571</v>
      </c>
      <c r="CE83" s="1427">
        <v>0.11643353751270456</v>
      </c>
      <c r="CF83" s="1427">
        <v>0.11304226942981026</v>
      </c>
      <c r="CG83" s="1427">
        <v>0.10974977614544684</v>
      </c>
      <c r="CH83" s="1427">
        <v>0.10655318072373479</v>
      </c>
      <c r="CI83" s="1427">
        <v>0.10344969002304348</v>
      </c>
      <c r="CJ83" s="1427">
        <v>0.10043659225538201</v>
      </c>
      <c r="CK83" s="1427">
        <v>9.7511254616875737E-2</v>
      </c>
      <c r="CL83" s="1427">
        <v>9.5132931333537313E-2</v>
      </c>
      <c r="CM83" s="1427">
        <v>9.2812615935158368E-2</v>
      </c>
      <c r="CN83" s="1427">
        <v>9.0548893595276458E-2</v>
      </c>
      <c r="CO83" s="1427">
        <v>8.834038399539168E-2</v>
      </c>
      <c r="CP83" s="1428">
        <v>8.6185740483308959E-2</v>
      </c>
    </row>
    <row r="84" spans="2:94" ht="30" customHeight="1" x14ac:dyDescent="0.3">
      <c r="B84" s="1729"/>
      <c r="C84" s="1446" t="s">
        <v>1342</v>
      </c>
      <c r="D84" s="1446" t="s">
        <v>1343</v>
      </c>
      <c r="E84" s="1260" t="s">
        <v>1322</v>
      </c>
      <c r="F84" s="1260" t="s">
        <v>1330</v>
      </c>
      <c r="G84" s="1260"/>
      <c r="H84" s="1260" t="s">
        <v>1324</v>
      </c>
      <c r="I84" s="1261"/>
      <c r="J84" s="1259"/>
      <c r="K84" s="1259"/>
      <c r="L84" s="1259"/>
      <c r="M84" s="1259"/>
      <c r="N84" s="1426"/>
      <c r="O84" s="1427"/>
      <c r="P84" s="1427"/>
      <c r="Q84" s="1427"/>
      <c r="R84" s="1427"/>
      <c r="S84" s="1427"/>
      <c r="T84" s="1427"/>
      <c r="U84" s="1427"/>
      <c r="V84" s="1427"/>
      <c r="W84" s="1427"/>
      <c r="X84" s="1427"/>
      <c r="Y84" s="1427"/>
      <c r="Z84" s="1427"/>
      <c r="AA84" s="1427"/>
      <c r="AB84" s="1427"/>
      <c r="AC84" s="1427"/>
      <c r="AD84" s="1427"/>
      <c r="AE84" s="1427"/>
      <c r="AF84" s="1427"/>
      <c r="AG84" s="1427"/>
      <c r="AH84" s="1427"/>
      <c r="AI84" s="1427"/>
      <c r="AJ84" s="1427"/>
      <c r="AK84" s="1427"/>
      <c r="AL84" s="1427"/>
      <c r="AM84" s="1427"/>
      <c r="AN84" s="1427"/>
      <c r="AO84" s="1427"/>
      <c r="AP84" s="1427"/>
      <c r="AQ84" s="1427"/>
      <c r="AR84" s="1427"/>
      <c r="AS84" s="1427"/>
      <c r="AT84" s="1427"/>
      <c r="AU84" s="1427"/>
      <c r="AV84" s="1427"/>
      <c r="AW84" s="1427"/>
      <c r="AX84" s="1427"/>
      <c r="AY84" s="1427"/>
      <c r="AZ84" s="1427"/>
      <c r="BA84" s="1427"/>
      <c r="BB84" s="1427"/>
      <c r="BC84" s="1427"/>
      <c r="BD84" s="1427"/>
      <c r="BE84" s="1427"/>
      <c r="BF84" s="1427"/>
      <c r="BG84" s="1427"/>
      <c r="BH84" s="1427"/>
      <c r="BI84" s="1427"/>
      <c r="BJ84" s="1427"/>
      <c r="BK84" s="1427"/>
      <c r="BL84" s="1427"/>
      <c r="BM84" s="1427"/>
      <c r="BN84" s="1427"/>
      <c r="BO84" s="1427"/>
      <c r="BP84" s="1427"/>
      <c r="BQ84" s="1427"/>
      <c r="BR84" s="1427"/>
      <c r="BS84" s="1427"/>
      <c r="BT84" s="1427"/>
      <c r="BU84" s="1427"/>
      <c r="BV84" s="1427"/>
      <c r="BW84" s="1427"/>
      <c r="BX84" s="1427"/>
      <c r="BY84" s="1427"/>
      <c r="BZ84" s="1427"/>
      <c r="CA84" s="1427"/>
      <c r="CB84" s="1427"/>
      <c r="CC84" s="1427"/>
      <c r="CD84" s="1427"/>
      <c r="CE84" s="1427"/>
      <c r="CF84" s="1427"/>
      <c r="CG84" s="1427"/>
      <c r="CH84" s="1427"/>
      <c r="CI84" s="1427"/>
      <c r="CJ84" s="1427"/>
      <c r="CK84" s="1427"/>
      <c r="CL84" s="1427"/>
      <c r="CM84" s="1427"/>
      <c r="CN84" s="1427"/>
      <c r="CO84" s="1427"/>
      <c r="CP84" s="1428"/>
    </row>
    <row r="85" spans="2:94" ht="30" customHeight="1" x14ac:dyDescent="0.3">
      <c r="B85" s="1729"/>
      <c r="C85" s="1446" t="s">
        <v>1342</v>
      </c>
      <c r="D85" s="1446" t="s">
        <v>1343</v>
      </c>
      <c r="E85" s="1264" t="s">
        <v>1322</v>
      </c>
      <c r="F85" s="1260" t="s">
        <v>1325</v>
      </c>
      <c r="G85" s="1260"/>
      <c r="H85" s="1285" t="s">
        <v>1324</v>
      </c>
      <c r="I85" s="1284"/>
      <c r="J85" s="1259"/>
      <c r="K85" s="1259"/>
      <c r="L85" s="1259"/>
      <c r="M85" s="1259"/>
      <c r="N85" s="1426"/>
      <c r="O85" s="1427"/>
      <c r="P85" s="1427"/>
      <c r="Q85" s="1427"/>
      <c r="R85" s="1427"/>
      <c r="S85" s="1427"/>
      <c r="T85" s="1427"/>
      <c r="U85" s="1427"/>
      <c r="V85" s="1427"/>
      <c r="W85" s="1427"/>
      <c r="X85" s="1427"/>
      <c r="Y85" s="1427"/>
      <c r="Z85" s="1427"/>
      <c r="AA85" s="1427"/>
      <c r="AB85" s="1427"/>
      <c r="AC85" s="1427"/>
      <c r="AD85" s="1427"/>
      <c r="AE85" s="1427"/>
      <c r="AF85" s="1427"/>
      <c r="AG85" s="1427"/>
      <c r="AH85" s="1427"/>
      <c r="AI85" s="1427"/>
      <c r="AJ85" s="1427"/>
      <c r="AK85" s="1427"/>
      <c r="AL85" s="1427"/>
      <c r="AM85" s="1427"/>
      <c r="AN85" s="1427"/>
      <c r="AO85" s="1427"/>
      <c r="AP85" s="1427"/>
      <c r="AQ85" s="1427"/>
      <c r="AR85" s="1427"/>
      <c r="AS85" s="1427"/>
      <c r="AT85" s="1427"/>
      <c r="AU85" s="1427"/>
      <c r="AV85" s="1427"/>
      <c r="AW85" s="1427"/>
      <c r="AX85" s="1427"/>
      <c r="AY85" s="1427"/>
      <c r="AZ85" s="1427"/>
      <c r="BA85" s="1427"/>
      <c r="BB85" s="1427"/>
      <c r="BC85" s="1427"/>
      <c r="BD85" s="1427"/>
      <c r="BE85" s="1427"/>
      <c r="BF85" s="1427"/>
      <c r="BG85" s="1427"/>
      <c r="BH85" s="1427"/>
      <c r="BI85" s="1427"/>
      <c r="BJ85" s="1427"/>
      <c r="BK85" s="1427"/>
      <c r="BL85" s="1427"/>
      <c r="BM85" s="1427"/>
      <c r="BN85" s="1427"/>
      <c r="BO85" s="1427"/>
      <c r="BP85" s="1427"/>
      <c r="BQ85" s="1427"/>
      <c r="BR85" s="1427"/>
      <c r="BS85" s="1427"/>
      <c r="BT85" s="1427"/>
      <c r="BU85" s="1427"/>
      <c r="BV85" s="1427"/>
      <c r="BW85" s="1427"/>
      <c r="BX85" s="1427"/>
      <c r="BY85" s="1427"/>
      <c r="BZ85" s="1427"/>
      <c r="CA85" s="1427"/>
      <c r="CB85" s="1427"/>
      <c r="CC85" s="1427"/>
      <c r="CD85" s="1427"/>
      <c r="CE85" s="1427"/>
      <c r="CF85" s="1427"/>
      <c r="CG85" s="1427"/>
      <c r="CH85" s="1427"/>
      <c r="CI85" s="1427"/>
      <c r="CJ85" s="1427"/>
      <c r="CK85" s="1427"/>
      <c r="CL85" s="1427"/>
      <c r="CM85" s="1427"/>
      <c r="CN85" s="1427"/>
      <c r="CO85" s="1427"/>
      <c r="CP85" s="1428"/>
    </row>
    <row r="86" spans="2:94" s="1278" customFormat="1" ht="30" customHeight="1" thickBot="1" x14ac:dyDescent="0.35">
      <c r="B86" s="1729"/>
      <c r="C86" s="1446" t="s">
        <v>1342</v>
      </c>
      <c r="D86" s="1446" t="s">
        <v>1343</v>
      </c>
      <c r="E86" s="1280" t="s">
        <v>1326</v>
      </c>
      <c r="F86" s="1279"/>
      <c r="G86" s="1279"/>
      <c r="H86" s="1279" t="s">
        <v>163</v>
      </c>
      <c r="I86" s="1283"/>
      <c r="J86" s="1282"/>
      <c r="K86" s="1282"/>
      <c r="L86" s="1282"/>
      <c r="M86" s="1282"/>
      <c r="N86" s="1434" t="str">
        <f>IF((N80+N81)*N83&lt;&gt;0,(N80+N81)*N83,"")</f>
        <v/>
      </c>
      <c r="O86" s="1435">
        <v>4.3222294029473786E-2</v>
      </c>
      <c r="P86" s="1435">
        <v>0.10391484415515187</v>
      </c>
      <c r="Q86" s="1435">
        <v>0.2000960772400858</v>
      </c>
      <c r="R86" s="1435">
        <v>0.28851730973461931</v>
      </c>
      <c r="S86" s="1435">
        <v>0.36963180528327638</v>
      </c>
      <c r="T86" s="1435">
        <v>0.44386974671787122</v>
      </c>
      <c r="U86" s="1435">
        <v>0.59954273278845327</v>
      </c>
      <c r="V86" s="1435">
        <v>0.82713016288169272</v>
      </c>
      <c r="W86" s="1435">
        <v>1.1998873037259481</v>
      </c>
      <c r="X86" s="1435">
        <v>1.5418666260808409</v>
      </c>
      <c r="Y86" s="1435">
        <v>2.3293383089675204</v>
      </c>
      <c r="Z86" s="1435">
        <v>2.2333121875975079</v>
      </c>
      <c r="AA86" s="1435">
        <v>2.1411168702740513</v>
      </c>
      <c r="AB86" s="1435">
        <v>2.0526030795302375</v>
      </c>
      <c r="AC86" s="1435">
        <v>1.9676272532414201</v>
      </c>
      <c r="AD86" s="1435">
        <v>1.8860513287866709</v>
      </c>
      <c r="AE86" s="1435">
        <v>1.8077425352722249</v>
      </c>
      <c r="AF86" s="1435">
        <v>1.7325731935184814</v>
      </c>
      <c r="AG86" s="1435">
        <v>1.6604205235230978</v>
      </c>
      <c r="AH86" s="1435">
        <v>1.5911664591232761</v>
      </c>
      <c r="AI86" s="1435">
        <v>1.5246974695905005</v>
      </c>
      <c r="AJ86" s="1435">
        <v>1.4609043879008239</v>
      </c>
      <c r="AK86" s="1435">
        <v>1.3996822454332232</v>
      </c>
      <c r="AL86" s="1435">
        <v>1.3409301128576616</v>
      </c>
      <c r="AM86" s="1435">
        <v>1.2845509469832541</v>
      </c>
      <c r="AN86" s="1435">
        <v>1.2312162372678785</v>
      </c>
      <c r="AO86" s="1435">
        <v>1.1803892226340296</v>
      </c>
      <c r="AP86" s="1435">
        <v>1.132305769102703</v>
      </c>
      <c r="AQ86" s="1435">
        <v>1.0861245017699976</v>
      </c>
      <c r="AR86" s="1435">
        <v>1.0417717562241282</v>
      </c>
      <c r="AS86" s="1435">
        <v>1.0040270471497097</v>
      </c>
      <c r="AT86" s="1435">
        <v>0.96916782468009743</v>
      </c>
      <c r="AU86" s="1435">
        <v>0.93701227858456082</v>
      </c>
      <c r="AV86" s="1435">
        <v>0.90886845717032727</v>
      </c>
      <c r="AW86" s="1435">
        <v>0.88156918011717711</v>
      </c>
      <c r="AX86" s="1435">
        <v>0.84811211049698454</v>
      </c>
      <c r="AY86" s="1435">
        <v>0.81585612923613049</v>
      </c>
      <c r="AZ86" s="1435">
        <v>0.78475965286968097</v>
      </c>
      <c r="BA86" s="1435">
        <v>0.75478250134358771</v>
      </c>
      <c r="BB86" s="1435">
        <v>0.72588585153936258</v>
      </c>
      <c r="BC86" s="1435">
        <v>0.70072676356391084</v>
      </c>
      <c r="BD86" s="1435">
        <v>0.67772550249338548</v>
      </c>
      <c r="BE86" s="1435">
        <v>0.65800956058147608</v>
      </c>
      <c r="BF86" s="1435">
        <v>0.63886718098261397</v>
      </c>
      <c r="BG86" s="1435">
        <v>0.62028167804949463</v>
      </c>
      <c r="BH86" s="1435">
        <v>0.60223685154052686</v>
      </c>
      <c r="BI86" s="1435">
        <v>0.59035862499648339</v>
      </c>
      <c r="BJ86" s="1435">
        <v>0.58413876710795509</v>
      </c>
      <c r="BK86" s="1435">
        <v>0.58841600550593387</v>
      </c>
      <c r="BL86" s="1435">
        <v>0.59194853825456539</v>
      </c>
      <c r="BM86" s="1435">
        <v>0.57007170432902998</v>
      </c>
      <c r="BN86" s="1435">
        <v>0.54914099145338047</v>
      </c>
      <c r="BO86" s="1435">
        <v>0.52928362760890102</v>
      </c>
      <c r="BP86" s="1435">
        <v>0.51011714715897427</v>
      </c>
      <c r="BQ86" s="1435">
        <v>0.49161815019189914</v>
      </c>
      <c r="BR86" s="1435">
        <v>0.47376401379615235</v>
      </c>
      <c r="BS86" s="1435">
        <v>0.45728296458546303</v>
      </c>
      <c r="BT86" s="1435">
        <v>0.44208831569819523</v>
      </c>
      <c r="BU86" s="1435">
        <v>0.42880494073453951</v>
      </c>
      <c r="BV86" s="1435">
        <v>0.41592031502965038</v>
      </c>
      <c r="BW86" s="1435">
        <v>0.4000902177357476</v>
      </c>
      <c r="BX86" s="1435">
        <v>0.38482942172305545</v>
      </c>
      <c r="BY86" s="1435">
        <v>0.37011819305659982</v>
      </c>
      <c r="BZ86" s="1435">
        <v>0.35593746439206347</v>
      </c>
      <c r="CA86" s="1435">
        <v>0.34226881288627664</v>
      </c>
      <c r="CB86" s="1435">
        <v>0.32909443882898148</v>
      </c>
      <c r="CC86" s="1435">
        <v>0.31639714497259425</v>
      </c>
      <c r="CD86" s="1435">
        <v>0.30416031653743281</v>
      </c>
      <c r="CE86" s="1435">
        <v>0.29236790187059808</v>
      </c>
      <c r="CF86" s="1435">
        <v>0.28100439373739211</v>
      </c>
      <c r="CG86" s="1435">
        <v>0.27005481122483699</v>
      </c>
      <c r="CH86" s="1435">
        <v>0.25950468223750783</v>
      </c>
      <c r="CI86" s="1435">
        <v>0.24934002656652771</v>
      </c>
      <c r="CJ86" s="1435">
        <v>0.23954733951318613</v>
      </c>
      <c r="CK86" s="1435">
        <v>0.23011357604923718</v>
      </c>
      <c r="CL86" s="1435">
        <v>0.22227625458982445</v>
      </c>
      <c r="CM86" s="1435">
        <v>0.21476822515787053</v>
      </c>
      <c r="CN86" s="1435">
        <v>0.20765787013103093</v>
      </c>
      <c r="CO86" s="1435">
        <v>0.20076659951052281</v>
      </c>
      <c r="CP86" s="1436">
        <v>0.19408795608855758</v>
      </c>
    </row>
    <row r="87" spans="2:94" s="1278" customFormat="1" ht="30" customHeight="1" thickBot="1" x14ac:dyDescent="0.35">
      <c r="B87" s="1730"/>
      <c r="C87" s="1442" t="s">
        <v>1342</v>
      </c>
      <c r="D87" s="1438" t="s">
        <v>1343</v>
      </c>
      <c r="E87" s="1280" t="s">
        <v>1327</v>
      </c>
      <c r="F87" s="1279"/>
      <c r="G87" s="1279"/>
      <c r="H87" s="1279" t="s">
        <v>163</v>
      </c>
      <c r="I87" s="1731">
        <f>IF(SUM($N86:$CP86)&lt;&gt;0,SUM($N86:$CP86),"")</f>
        <v>63.117431615896059</v>
      </c>
      <c r="J87" s="1732"/>
      <c r="K87" s="1732"/>
      <c r="L87" s="1732"/>
      <c r="M87" s="1733"/>
    </row>
    <row r="88" spans="2:94" ht="30" customHeight="1" x14ac:dyDescent="0.3">
      <c r="B88" s="1728" t="s">
        <v>1313</v>
      </c>
      <c r="C88" s="1446" t="s">
        <v>1344</v>
      </c>
      <c r="D88" s="1446" t="s">
        <v>1345</v>
      </c>
      <c r="E88" s="1269" t="s">
        <v>1316</v>
      </c>
      <c r="F88" s="1288"/>
      <c r="G88" s="1288"/>
      <c r="H88" s="1270" t="s">
        <v>163</v>
      </c>
      <c r="I88" s="1266"/>
      <c r="J88" s="1265"/>
      <c r="K88" s="1265"/>
      <c r="L88" s="1265"/>
      <c r="M88" s="1265"/>
      <c r="N88" s="1423"/>
      <c r="O88" s="1424">
        <v>0.94833429121550261</v>
      </c>
      <c r="P88" s="1424">
        <v>1.422501436823254</v>
      </c>
      <c r="Q88" s="1424">
        <v>2.3708357280387569</v>
      </c>
      <c r="R88" s="1424">
        <v>2.3708357280387569</v>
      </c>
      <c r="S88" s="1424">
        <v>2.3708357280387569</v>
      </c>
      <c r="T88" s="1424">
        <v>2.3708357280387569</v>
      </c>
      <c r="U88" s="1424">
        <v>4.7416714560775137</v>
      </c>
      <c r="V88" s="1424">
        <v>7.1125071841162697</v>
      </c>
      <c r="W88" s="1424">
        <v>11.854178640193782</v>
      </c>
      <c r="X88" s="1424">
        <v>11.854178640193782</v>
      </c>
      <c r="Y88" s="1424">
        <v>0</v>
      </c>
      <c r="Z88" s="1424">
        <v>0</v>
      </c>
      <c r="AA88" s="1424">
        <v>0</v>
      </c>
      <c r="AB88" s="1424">
        <v>0</v>
      </c>
      <c r="AC88" s="1424">
        <v>0</v>
      </c>
      <c r="AD88" s="1424">
        <v>0</v>
      </c>
      <c r="AE88" s="1424">
        <v>0</v>
      </c>
      <c r="AF88" s="1424">
        <v>0</v>
      </c>
      <c r="AG88" s="1424">
        <v>0</v>
      </c>
      <c r="AH88" s="1424">
        <v>0</v>
      </c>
      <c r="AI88" s="1424">
        <v>0</v>
      </c>
      <c r="AJ88" s="1424">
        <v>0</v>
      </c>
      <c r="AK88" s="1424">
        <v>0</v>
      </c>
      <c r="AL88" s="1424">
        <v>0</v>
      </c>
      <c r="AM88" s="1424">
        <v>0</v>
      </c>
      <c r="AN88" s="1424">
        <v>5.881448842419601E-2</v>
      </c>
      <c r="AO88" s="1424">
        <v>8.8221732636294001E-2</v>
      </c>
      <c r="AP88" s="1424">
        <v>0.14703622106049002</v>
      </c>
      <c r="AQ88" s="1424">
        <v>0.14703622106049002</v>
      </c>
      <c r="AR88" s="1424">
        <v>0.14703622106049002</v>
      </c>
      <c r="AS88" s="1424">
        <v>0.14703622106049002</v>
      </c>
      <c r="AT88" s="1424">
        <v>0.29407244212098005</v>
      </c>
      <c r="AU88" s="1424">
        <v>0.44110866318147013</v>
      </c>
      <c r="AV88" s="1424">
        <v>0.73518110530244996</v>
      </c>
      <c r="AW88" s="1424">
        <v>0.73518110530244996</v>
      </c>
      <c r="AX88" s="1424">
        <v>0</v>
      </c>
      <c r="AY88" s="1424">
        <v>0</v>
      </c>
      <c r="AZ88" s="1424">
        <v>0</v>
      </c>
      <c r="BA88" s="1424">
        <v>0</v>
      </c>
      <c r="BB88" s="1424">
        <v>0</v>
      </c>
      <c r="BC88" s="1424">
        <v>0.33086423113269769</v>
      </c>
      <c r="BD88" s="1424">
        <v>0.49629634669904649</v>
      </c>
      <c r="BE88" s="1424">
        <v>0.82716057783174424</v>
      </c>
      <c r="BF88" s="1424">
        <v>0.82716057783174424</v>
      </c>
      <c r="BG88" s="1424">
        <v>0.82716057783174424</v>
      </c>
      <c r="BH88" s="1424">
        <v>0.82716057783174424</v>
      </c>
      <c r="BI88" s="1424">
        <v>1.6543211556634885</v>
      </c>
      <c r="BJ88" s="1424">
        <v>2.4814817334952326</v>
      </c>
      <c r="BK88" s="1424">
        <v>4.1358028891587209</v>
      </c>
      <c r="BL88" s="1424">
        <v>4.1358028891587209</v>
      </c>
      <c r="BM88" s="1424">
        <v>5.881448842419601E-2</v>
      </c>
      <c r="BN88" s="1424">
        <v>8.8221732636294001E-2</v>
      </c>
      <c r="BO88" s="1424">
        <v>0.14703622106049002</v>
      </c>
      <c r="BP88" s="1424">
        <v>0.14703622106049002</v>
      </c>
      <c r="BQ88" s="1424">
        <v>0.14703622106049002</v>
      </c>
      <c r="BR88" s="1424">
        <v>0.14703622106049002</v>
      </c>
      <c r="BS88" s="1424">
        <v>0.29407244212098005</v>
      </c>
      <c r="BT88" s="1424">
        <v>0.44110866318147013</v>
      </c>
      <c r="BU88" s="1424">
        <v>0.73518110530244996</v>
      </c>
      <c r="BV88" s="1424">
        <v>0.73518110530244996</v>
      </c>
      <c r="BW88" s="1424">
        <v>0</v>
      </c>
      <c r="BX88" s="1424">
        <v>0</v>
      </c>
      <c r="BY88" s="1424">
        <v>0</v>
      </c>
      <c r="BZ88" s="1424">
        <v>0</v>
      </c>
      <c r="CA88" s="1424">
        <v>0</v>
      </c>
      <c r="CB88" s="1424">
        <v>0</v>
      </c>
      <c r="CC88" s="1424">
        <v>0</v>
      </c>
      <c r="CD88" s="1424">
        <v>0</v>
      </c>
      <c r="CE88" s="1424">
        <v>0</v>
      </c>
      <c r="CF88" s="1424">
        <v>0</v>
      </c>
      <c r="CG88" s="1424">
        <v>0</v>
      </c>
      <c r="CH88" s="1424">
        <v>0</v>
      </c>
      <c r="CI88" s="1424">
        <v>0</v>
      </c>
      <c r="CJ88" s="1424">
        <v>0</v>
      </c>
      <c r="CK88" s="1424">
        <v>0</v>
      </c>
      <c r="CL88" s="1424">
        <v>5.881448842419601E-2</v>
      </c>
      <c r="CM88" s="1424">
        <v>8.8221732636294001E-2</v>
      </c>
      <c r="CN88" s="1424">
        <v>0.14703622106049002</v>
      </c>
      <c r="CO88" s="1424">
        <v>0.14703622106049002</v>
      </c>
      <c r="CP88" s="1425">
        <v>0.14703622106049002</v>
      </c>
    </row>
    <row r="89" spans="2:94" ht="30" customHeight="1" x14ac:dyDescent="0.3">
      <c r="B89" s="1729"/>
      <c r="C89" s="1446" t="s">
        <v>1344</v>
      </c>
      <c r="D89" s="1446" t="s">
        <v>1345</v>
      </c>
      <c r="E89" s="1260" t="s">
        <v>1317</v>
      </c>
      <c r="F89" s="1287"/>
      <c r="G89" s="1287"/>
      <c r="H89" s="1264" t="s">
        <v>1318</v>
      </c>
      <c r="I89" s="1261"/>
      <c r="J89" s="1259"/>
      <c r="K89" s="1259"/>
      <c r="L89" s="1259"/>
      <c r="M89" s="1259"/>
      <c r="N89" s="1426"/>
      <c r="O89" s="1427">
        <v>0</v>
      </c>
      <c r="P89" s="1427">
        <v>0</v>
      </c>
      <c r="Q89" s="1427">
        <v>0</v>
      </c>
      <c r="R89" s="1427">
        <v>0</v>
      </c>
      <c r="S89" s="1427">
        <v>0</v>
      </c>
      <c r="T89" s="1427">
        <v>0</v>
      </c>
      <c r="U89" s="1427">
        <v>0</v>
      </c>
      <c r="V89" s="1427">
        <v>0</v>
      </c>
      <c r="W89" s="1427">
        <v>0</v>
      </c>
      <c r="X89" s="1427">
        <v>0</v>
      </c>
      <c r="Y89" s="1427">
        <v>1.1653989565909317</v>
      </c>
      <c r="Z89" s="1427">
        <v>1.1653989565909317</v>
      </c>
      <c r="AA89" s="1427">
        <v>1.1653989565909317</v>
      </c>
      <c r="AB89" s="1427">
        <v>1.1653989565909317</v>
      </c>
      <c r="AC89" s="1427">
        <v>1.1653989565909317</v>
      </c>
      <c r="AD89" s="1427">
        <v>1.1653989565909317</v>
      </c>
      <c r="AE89" s="1427">
        <v>1.1653989565909317</v>
      </c>
      <c r="AF89" s="1427">
        <v>1.1653989565909317</v>
      </c>
      <c r="AG89" s="1427">
        <v>1.1653989565909317</v>
      </c>
      <c r="AH89" s="1427">
        <v>1.1653989565909317</v>
      </c>
      <c r="AI89" s="1427">
        <v>1.1653989565909317</v>
      </c>
      <c r="AJ89" s="1427">
        <v>1.1653989565909317</v>
      </c>
      <c r="AK89" s="1427">
        <v>1.1653989565909317</v>
      </c>
      <c r="AL89" s="1427">
        <v>1.1653989565909317</v>
      </c>
      <c r="AM89" s="1427">
        <v>1.1653989565909317</v>
      </c>
      <c r="AN89" s="1427">
        <v>1.1653989565909317</v>
      </c>
      <c r="AO89" s="1427">
        <v>1.1653989565909317</v>
      </c>
      <c r="AP89" s="1427">
        <v>1.1653989565909317</v>
      </c>
      <c r="AQ89" s="1427">
        <v>1.1653989565909317</v>
      </c>
      <c r="AR89" s="1427">
        <v>1.1653989565909317</v>
      </c>
      <c r="AS89" s="1427">
        <v>1.1653989565909317</v>
      </c>
      <c r="AT89" s="1427">
        <v>1.1653989565909317</v>
      </c>
      <c r="AU89" s="1427">
        <v>1.1653989565909317</v>
      </c>
      <c r="AV89" s="1427">
        <v>1.1653989565909317</v>
      </c>
      <c r="AW89" s="1427">
        <v>1.1653989565909317</v>
      </c>
      <c r="AX89" s="1427">
        <v>1.1653989565909317</v>
      </c>
      <c r="AY89" s="1427">
        <v>1.1653989565909317</v>
      </c>
      <c r="AZ89" s="1427">
        <v>1.1653989565909317</v>
      </c>
      <c r="BA89" s="1427">
        <v>1.1653989565909317</v>
      </c>
      <c r="BB89" s="1427">
        <v>1.1653989565909317</v>
      </c>
      <c r="BC89" s="1427">
        <v>1.1653989565909317</v>
      </c>
      <c r="BD89" s="1427">
        <v>1.1653989565909317</v>
      </c>
      <c r="BE89" s="1427">
        <v>1.1653989565909317</v>
      </c>
      <c r="BF89" s="1427">
        <v>1.1653989565909317</v>
      </c>
      <c r="BG89" s="1427">
        <v>1.1653989565909317</v>
      </c>
      <c r="BH89" s="1427">
        <v>1.1653989565909317</v>
      </c>
      <c r="BI89" s="1427">
        <v>1.1653989565909317</v>
      </c>
      <c r="BJ89" s="1427">
        <v>1.1653989565909317</v>
      </c>
      <c r="BK89" s="1427">
        <v>1.1653989565909317</v>
      </c>
      <c r="BL89" s="1427">
        <v>1.1653989565909317</v>
      </c>
      <c r="BM89" s="1427">
        <v>1.1653989565909317</v>
      </c>
      <c r="BN89" s="1427">
        <v>1.1653989565909317</v>
      </c>
      <c r="BO89" s="1427">
        <v>1.1653989565909317</v>
      </c>
      <c r="BP89" s="1427">
        <v>1.1653989565909317</v>
      </c>
      <c r="BQ89" s="1427">
        <v>1.1653989565909317</v>
      </c>
      <c r="BR89" s="1427">
        <v>1.1653989565909317</v>
      </c>
      <c r="BS89" s="1427">
        <v>1.1653989565909317</v>
      </c>
      <c r="BT89" s="1427">
        <v>1.1653989565909317</v>
      </c>
      <c r="BU89" s="1427">
        <v>1.1653989565909317</v>
      </c>
      <c r="BV89" s="1427">
        <v>1.1653989565909317</v>
      </c>
      <c r="BW89" s="1427">
        <v>1.1653989565909317</v>
      </c>
      <c r="BX89" s="1427">
        <v>1.1653989565909317</v>
      </c>
      <c r="BY89" s="1427">
        <v>1.1653989565909317</v>
      </c>
      <c r="BZ89" s="1427">
        <v>1.1653989565909317</v>
      </c>
      <c r="CA89" s="1427">
        <v>1.1653989565909317</v>
      </c>
      <c r="CB89" s="1427">
        <v>1.1653989565909317</v>
      </c>
      <c r="CC89" s="1427">
        <v>1.1653989565909317</v>
      </c>
      <c r="CD89" s="1427">
        <v>1.1653989565909317</v>
      </c>
      <c r="CE89" s="1427">
        <v>1.1653989565909317</v>
      </c>
      <c r="CF89" s="1427">
        <v>1.1653989565909317</v>
      </c>
      <c r="CG89" s="1427">
        <v>1.1653989565909317</v>
      </c>
      <c r="CH89" s="1427">
        <v>1.1653989565909317</v>
      </c>
      <c r="CI89" s="1427">
        <v>1.1653989565909317</v>
      </c>
      <c r="CJ89" s="1427">
        <v>1.1653989565909317</v>
      </c>
      <c r="CK89" s="1427">
        <v>1.1653989565909317</v>
      </c>
      <c r="CL89" s="1427">
        <v>1.1653989565909317</v>
      </c>
      <c r="CM89" s="1427">
        <v>1.1653989565909317</v>
      </c>
      <c r="CN89" s="1427">
        <v>1.1653989565909317</v>
      </c>
      <c r="CO89" s="1427">
        <v>1.1653989565909317</v>
      </c>
      <c r="CP89" s="1428">
        <v>1.1653989565909317</v>
      </c>
    </row>
    <row r="90" spans="2:94" ht="30" customHeight="1" x14ac:dyDescent="0.3">
      <c r="B90" s="1729"/>
      <c r="C90" s="1446" t="s">
        <v>1344</v>
      </c>
      <c r="D90" s="1446" t="s">
        <v>1345</v>
      </c>
      <c r="E90" s="1260" t="s">
        <v>1319</v>
      </c>
      <c r="F90" s="1287"/>
      <c r="G90" s="1287"/>
      <c r="H90" s="1264" t="s">
        <v>1318</v>
      </c>
      <c r="I90" s="1261"/>
      <c r="J90" s="1259"/>
      <c r="K90" s="1259"/>
      <c r="L90" s="1259" t="s">
        <v>2240</v>
      </c>
      <c r="M90" s="1259"/>
      <c r="N90" s="1426"/>
      <c r="O90" s="1427">
        <v>4.5041673517079717E-2</v>
      </c>
      <c r="P90" s="1427">
        <v>0.11209004829783756</v>
      </c>
      <c r="Q90" s="1427">
        <v>0.22340889335338251</v>
      </c>
      <c r="R90" s="1427">
        <v>0.33344239967177319</v>
      </c>
      <c r="S90" s="1427">
        <v>0.44219056725300959</v>
      </c>
      <c r="T90" s="1427">
        <v>0.54965339609709163</v>
      </c>
      <c r="U90" s="1427">
        <v>0.76843506999671873</v>
      </c>
      <c r="V90" s="1427">
        <v>1.0972502502147365</v>
      </c>
      <c r="W90" s="1427">
        <v>1.6474177818066895</v>
      </c>
      <c r="X90" s="1427">
        <v>2.1911586197128714</v>
      </c>
      <c r="Y90" s="1427">
        <v>2.1654518449697853</v>
      </c>
      <c r="Z90" s="1427">
        <v>2.1397450702266991</v>
      </c>
      <c r="AA90" s="1427">
        <v>2.114038295483613</v>
      </c>
      <c r="AB90" s="1427">
        <v>2.0883315207405269</v>
      </c>
      <c r="AC90" s="1427">
        <v>2.0626247459974412</v>
      </c>
      <c r="AD90" s="1427">
        <v>2.036917971254355</v>
      </c>
      <c r="AE90" s="1427">
        <v>2.0112111965112689</v>
      </c>
      <c r="AF90" s="1427">
        <v>1.9855044217681825</v>
      </c>
      <c r="AG90" s="1427">
        <v>1.9597976470250966</v>
      </c>
      <c r="AH90" s="1427">
        <v>1.9340908722820107</v>
      </c>
      <c r="AI90" s="1427">
        <v>1.9083840975389244</v>
      </c>
      <c r="AJ90" s="1427">
        <v>1.8826773227958384</v>
      </c>
      <c r="AK90" s="1427">
        <v>1.8569705480527521</v>
      </c>
      <c r="AL90" s="1427">
        <v>1.8312637733096657</v>
      </c>
      <c r="AM90" s="1427">
        <v>1.8055569985665798</v>
      </c>
      <c r="AN90" s="1427">
        <v>1.7815676068854804</v>
      </c>
      <c r="AO90" s="1427">
        <v>1.7584369067353742</v>
      </c>
      <c r="AP90" s="1427">
        <v>1.7370235896472546</v>
      </c>
      <c r="AQ90" s="1427">
        <v>1.7156102725591345</v>
      </c>
      <c r="AR90" s="1427">
        <v>1.6941969554710146</v>
      </c>
      <c r="AS90" s="1427">
        <v>1.6727836383828949</v>
      </c>
      <c r="AT90" s="1427">
        <v>1.6556637789497415</v>
      </c>
      <c r="AU90" s="1427">
        <v>1.6428373771715543</v>
      </c>
      <c r="AV90" s="1427">
        <v>1.6385978907033001</v>
      </c>
      <c r="AW90" s="1427">
        <v>1.6343584042350452</v>
      </c>
      <c r="AX90" s="1427">
        <v>1.6086516294919588</v>
      </c>
      <c r="AY90" s="1427">
        <v>1.5829448547488729</v>
      </c>
      <c r="AZ90" s="1427">
        <v>1.557238080005787</v>
      </c>
      <c r="BA90" s="1427">
        <v>1.5315313052627009</v>
      </c>
      <c r="BB90" s="1427">
        <v>1.505824530519615</v>
      </c>
      <c r="BC90" s="1427">
        <v>1.4897789913256034</v>
      </c>
      <c r="BD90" s="1427">
        <v>1.4785640699061293</v>
      </c>
      <c r="BE90" s="1427">
        <v>1.4770103840357298</v>
      </c>
      <c r="BF90" s="1427">
        <v>1.475456698165331</v>
      </c>
      <c r="BG90" s="1427">
        <v>1.4739030122949317</v>
      </c>
      <c r="BH90" s="1427">
        <v>1.4723493264245326</v>
      </c>
      <c r="BI90" s="1427">
        <v>1.4949487294268202</v>
      </c>
      <c r="BJ90" s="1427">
        <v>1.5417012213017947</v>
      </c>
      <c r="BK90" s="1427">
        <v>1.6367598909221432</v>
      </c>
      <c r="BL90" s="1427">
        <v>1.7318185605424918</v>
      </c>
      <c r="BM90" s="1427">
        <v>1.7078291688613922</v>
      </c>
      <c r="BN90" s="1427">
        <v>1.6846984687112858</v>
      </c>
      <c r="BO90" s="1427">
        <v>1.6632851516231659</v>
      </c>
      <c r="BP90" s="1427">
        <v>1.6418718345350463</v>
      </c>
      <c r="BQ90" s="1427">
        <v>1.6204585174469261</v>
      </c>
      <c r="BR90" s="1427">
        <v>1.5990452003588067</v>
      </c>
      <c r="BS90" s="1427">
        <v>1.5819253409256531</v>
      </c>
      <c r="BT90" s="1427">
        <v>1.5690989391474657</v>
      </c>
      <c r="BU90" s="1427">
        <v>1.5648594526792112</v>
      </c>
      <c r="BV90" s="1427">
        <v>1.5606199662109563</v>
      </c>
      <c r="BW90" s="1427">
        <v>1.5349131914678702</v>
      </c>
      <c r="BX90" s="1427">
        <v>1.5092064167247841</v>
      </c>
      <c r="BY90" s="1427">
        <v>1.4834996419816979</v>
      </c>
      <c r="BZ90" s="1427">
        <v>1.4577928672386118</v>
      </c>
      <c r="CA90" s="1427">
        <v>1.4320860924955257</v>
      </c>
      <c r="CB90" s="1427">
        <v>1.4063793177524395</v>
      </c>
      <c r="CC90" s="1427">
        <v>1.3806725430093532</v>
      </c>
      <c r="CD90" s="1427">
        <v>1.354965768266267</v>
      </c>
      <c r="CE90" s="1427">
        <v>1.3292589935231811</v>
      </c>
      <c r="CF90" s="1427">
        <v>1.3035522187800948</v>
      </c>
      <c r="CG90" s="1427">
        <v>1.2778454440370088</v>
      </c>
      <c r="CH90" s="1427">
        <v>1.2521386692939227</v>
      </c>
      <c r="CI90" s="1427">
        <v>1.2264318945508363</v>
      </c>
      <c r="CJ90" s="1427">
        <v>1.2007251198077502</v>
      </c>
      <c r="CK90" s="1427">
        <v>1.1750183450646641</v>
      </c>
      <c r="CL90" s="1427">
        <v>1.1510289533835647</v>
      </c>
      <c r="CM90" s="1427">
        <v>1.1278982532334583</v>
      </c>
      <c r="CN90" s="1427">
        <v>1.1064849361453382</v>
      </c>
      <c r="CO90" s="1427">
        <v>1.0850716190572187</v>
      </c>
      <c r="CP90" s="1428">
        <v>1.0636583019690988</v>
      </c>
    </row>
    <row r="91" spans="2:94" ht="30" customHeight="1" x14ac:dyDescent="0.3">
      <c r="B91" s="1729"/>
      <c r="C91" s="1446" t="s">
        <v>1344</v>
      </c>
      <c r="D91" s="1446" t="s">
        <v>1345</v>
      </c>
      <c r="E91" s="1260" t="s">
        <v>1320</v>
      </c>
      <c r="F91" s="1287"/>
      <c r="G91" s="1287"/>
      <c r="H91" s="1264" t="s">
        <v>1318</v>
      </c>
      <c r="I91" s="1261"/>
      <c r="J91" s="1259"/>
      <c r="K91" s="1259"/>
      <c r="L91" s="1259"/>
      <c r="M91" s="1259"/>
      <c r="N91" s="1426"/>
      <c r="O91" s="1427"/>
      <c r="P91" s="1427">
        <v>3.5000000000000003E-2</v>
      </c>
      <c r="Q91" s="1427">
        <v>3.5000000000000003E-2</v>
      </c>
      <c r="R91" s="1427">
        <v>3.5000000000000003E-2</v>
      </c>
      <c r="S91" s="1427">
        <v>3.5000000000000003E-2</v>
      </c>
      <c r="T91" s="1427">
        <v>3.5000000000000003E-2</v>
      </c>
      <c r="U91" s="1427">
        <v>3.5000000000000003E-2</v>
      </c>
      <c r="V91" s="1427">
        <v>3.5000000000000003E-2</v>
      </c>
      <c r="W91" s="1427">
        <v>3.5000000000000003E-2</v>
      </c>
      <c r="X91" s="1427">
        <v>3.5000000000000003E-2</v>
      </c>
      <c r="Y91" s="1427">
        <v>3.5000000000000003E-2</v>
      </c>
      <c r="Z91" s="1427">
        <v>3.5000000000000003E-2</v>
      </c>
      <c r="AA91" s="1427">
        <v>3.5000000000000003E-2</v>
      </c>
      <c r="AB91" s="1427">
        <v>3.5000000000000003E-2</v>
      </c>
      <c r="AC91" s="1427">
        <v>3.5000000000000003E-2</v>
      </c>
      <c r="AD91" s="1427">
        <v>3.5000000000000003E-2</v>
      </c>
      <c r="AE91" s="1427">
        <v>3.5000000000000003E-2</v>
      </c>
      <c r="AF91" s="1427">
        <v>3.5000000000000003E-2</v>
      </c>
      <c r="AG91" s="1427">
        <v>3.5000000000000003E-2</v>
      </c>
      <c r="AH91" s="1427">
        <v>3.5000000000000003E-2</v>
      </c>
      <c r="AI91" s="1427">
        <v>3.5000000000000003E-2</v>
      </c>
      <c r="AJ91" s="1427">
        <v>3.5000000000000003E-2</v>
      </c>
      <c r="AK91" s="1427">
        <v>3.5000000000000003E-2</v>
      </c>
      <c r="AL91" s="1427">
        <v>3.5000000000000003E-2</v>
      </c>
      <c r="AM91" s="1427">
        <v>3.5000000000000003E-2</v>
      </c>
      <c r="AN91" s="1427">
        <v>3.5000000000000003E-2</v>
      </c>
      <c r="AO91" s="1427">
        <v>3.5000000000000003E-2</v>
      </c>
      <c r="AP91" s="1427">
        <v>3.5000000000000003E-2</v>
      </c>
      <c r="AQ91" s="1427">
        <v>3.5000000000000003E-2</v>
      </c>
      <c r="AR91" s="1427">
        <v>3.5000000000000003E-2</v>
      </c>
      <c r="AS91" s="1427">
        <v>0.03</v>
      </c>
      <c r="AT91" s="1427">
        <v>0.03</v>
      </c>
      <c r="AU91" s="1427">
        <v>0.03</v>
      </c>
      <c r="AV91" s="1427">
        <v>0.03</v>
      </c>
      <c r="AW91" s="1427">
        <v>0.03</v>
      </c>
      <c r="AX91" s="1427">
        <v>0.03</v>
      </c>
      <c r="AY91" s="1427">
        <v>0.03</v>
      </c>
      <c r="AZ91" s="1427">
        <v>0.03</v>
      </c>
      <c r="BA91" s="1427">
        <v>0.03</v>
      </c>
      <c r="BB91" s="1427">
        <v>0.03</v>
      </c>
      <c r="BC91" s="1427">
        <v>0.03</v>
      </c>
      <c r="BD91" s="1427">
        <v>0.03</v>
      </c>
      <c r="BE91" s="1427">
        <v>0.03</v>
      </c>
      <c r="BF91" s="1427">
        <v>0.03</v>
      </c>
      <c r="BG91" s="1427">
        <v>0.03</v>
      </c>
      <c r="BH91" s="1427">
        <v>0.03</v>
      </c>
      <c r="BI91" s="1427">
        <v>0.03</v>
      </c>
      <c r="BJ91" s="1427">
        <v>0.03</v>
      </c>
      <c r="BK91" s="1427">
        <v>0.03</v>
      </c>
      <c r="BL91" s="1427">
        <v>0.03</v>
      </c>
      <c r="BM91" s="1427">
        <v>0.03</v>
      </c>
      <c r="BN91" s="1427">
        <v>0.03</v>
      </c>
      <c r="BO91" s="1427">
        <v>0.03</v>
      </c>
      <c r="BP91" s="1427">
        <v>0.03</v>
      </c>
      <c r="BQ91" s="1427">
        <v>0.03</v>
      </c>
      <c r="BR91" s="1427">
        <v>0.03</v>
      </c>
      <c r="BS91" s="1427">
        <v>0.03</v>
      </c>
      <c r="BT91" s="1427">
        <v>0.03</v>
      </c>
      <c r="BU91" s="1427">
        <v>0.03</v>
      </c>
      <c r="BV91" s="1427">
        <v>0.03</v>
      </c>
      <c r="BW91" s="1427">
        <v>0.03</v>
      </c>
      <c r="BX91" s="1427">
        <v>0.03</v>
      </c>
      <c r="BY91" s="1427">
        <v>0.03</v>
      </c>
      <c r="BZ91" s="1427">
        <v>0.03</v>
      </c>
      <c r="CA91" s="1427">
        <v>0.03</v>
      </c>
      <c r="CB91" s="1427">
        <v>0.03</v>
      </c>
      <c r="CC91" s="1427">
        <v>0.03</v>
      </c>
      <c r="CD91" s="1427">
        <v>0.03</v>
      </c>
      <c r="CE91" s="1427">
        <v>0.03</v>
      </c>
      <c r="CF91" s="1427">
        <v>0.03</v>
      </c>
      <c r="CG91" s="1427">
        <v>0.03</v>
      </c>
      <c r="CH91" s="1427">
        <v>0.03</v>
      </c>
      <c r="CI91" s="1427">
        <v>0.03</v>
      </c>
      <c r="CJ91" s="1427">
        <v>0.03</v>
      </c>
      <c r="CK91" s="1427">
        <v>0.03</v>
      </c>
      <c r="CL91" s="1427">
        <v>2.5000000000000001E-2</v>
      </c>
      <c r="CM91" s="1427">
        <v>2.5000000000000001E-2</v>
      </c>
      <c r="CN91" s="1427">
        <v>2.5000000000000001E-2</v>
      </c>
      <c r="CO91" s="1427">
        <v>2.5000000000000001E-2</v>
      </c>
      <c r="CP91" s="1428">
        <v>2.5000000000000001E-2</v>
      </c>
    </row>
    <row r="92" spans="2:94" ht="30" customHeight="1" x14ac:dyDescent="0.3">
      <c r="B92" s="1729"/>
      <c r="C92" s="1446" t="s">
        <v>1344</v>
      </c>
      <c r="D92" s="1446" t="s">
        <v>1345</v>
      </c>
      <c r="E92" s="1260" t="s">
        <v>1321</v>
      </c>
      <c r="F92" s="1287"/>
      <c r="G92" s="1287"/>
      <c r="H92" s="1264" t="s">
        <v>1318</v>
      </c>
      <c r="I92" s="1261"/>
      <c r="J92" s="1259"/>
      <c r="K92" s="1259"/>
      <c r="L92" s="1259"/>
      <c r="M92" s="1259"/>
      <c r="N92" s="1426"/>
      <c r="O92" s="1427">
        <v>1</v>
      </c>
      <c r="P92" s="1427">
        <v>0.96618357487922713</v>
      </c>
      <c r="Q92" s="1427">
        <v>0.93351070036640305</v>
      </c>
      <c r="R92" s="1427">
        <v>0.90194270566802237</v>
      </c>
      <c r="S92" s="1427">
        <v>0.87144222769857238</v>
      </c>
      <c r="T92" s="1427">
        <v>0.84197316685852408</v>
      </c>
      <c r="U92" s="1427">
        <v>0.81350064430775282</v>
      </c>
      <c r="V92" s="1427">
        <v>0.78599096068381924</v>
      </c>
      <c r="W92" s="1427">
        <v>0.75941155621625056</v>
      </c>
      <c r="X92" s="1427">
        <v>0.73373097218961414</v>
      </c>
      <c r="Y92" s="1427">
        <v>0.70891881370977217</v>
      </c>
      <c r="Z92" s="1427">
        <v>0.68494571372924851</v>
      </c>
      <c r="AA92" s="1427">
        <v>0.66178329828912907</v>
      </c>
      <c r="AB92" s="1427">
        <v>0.63940415293635666</v>
      </c>
      <c r="AC92" s="1427">
        <v>0.61778179027667313</v>
      </c>
      <c r="AD92" s="1427">
        <v>0.59689061862480497</v>
      </c>
      <c r="AE92" s="1427">
        <v>0.57670591171478747</v>
      </c>
      <c r="AF92" s="1427">
        <v>0.55720377943457733</v>
      </c>
      <c r="AG92" s="1427">
        <v>0.53836113955031628</v>
      </c>
      <c r="AH92" s="1427">
        <v>0.520155690386779</v>
      </c>
      <c r="AI92" s="1427">
        <v>0.50256588443167061</v>
      </c>
      <c r="AJ92" s="1427">
        <v>0.48557090283253201</v>
      </c>
      <c r="AK92" s="1427">
        <v>0.46915063075606961</v>
      </c>
      <c r="AL92" s="1427">
        <v>0.45328563358074364</v>
      </c>
      <c r="AM92" s="1427">
        <v>0.43795713389443836</v>
      </c>
      <c r="AN92" s="1427">
        <v>0.42314698926998878</v>
      </c>
      <c r="AO92" s="1427">
        <v>0.40883767079225974</v>
      </c>
      <c r="AP92" s="1427">
        <v>0.39501224231136212</v>
      </c>
      <c r="AQ92" s="1427">
        <v>0.38165434039745133</v>
      </c>
      <c r="AR92" s="1427">
        <v>0.36874815497338298</v>
      </c>
      <c r="AS92" s="1427">
        <v>0.35800791744988636</v>
      </c>
      <c r="AT92" s="1427">
        <v>0.34758050237853044</v>
      </c>
      <c r="AU92" s="1427">
        <v>0.33745679842575771</v>
      </c>
      <c r="AV92" s="1427">
        <v>0.32762795963665797</v>
      </c>
      <c r="AW92" s="1427">
        <v>0.31808539770549316</v>
      </c>
      <c r="AX92" s="1427">
        <v>0.30882077447135259</v>
      </c>
      <c r="AY92" s="1427">
        <v>0.29982599463238113</v>
      </c>
      <c r="AZ92" s="1427">
        <v>0.29109319867221467</v>
      </c>
      <c r="BA92" s="1427">
        <v>0.2826147559924414</v>
      </c>
      <c r="BB92" s="1427">
        <v>0.27438325824508875</v>
      </c>
      <c r="BC92" s="1427">
        <v>0.26639151285930945</v>
      </c>
      <c r="BD92" s="1427">
        <v>0.25863253675661113</v>
      </c>
      <c r="BE92" s="1427">
        <v>0.25109955024913699</v>
      </c>
      <c r="BF92" s="1427">
        <v>0.24378597111566697</v>
      </c>
      <c r="BG92" s="1427">
        <v>0.23668540885016209</v>
      </c>
      <c r="BH92" s="1427">
        <v>0.22979165907782728</v>
      </c>
      <c r="BI92" s="1427">
        <v>0.22309869813381289</v>
      </c>
      <c r="BJ92" s="1427">
        <v>0.21660067779981834</v>
      </c>
      <c r="BK92" s="1427">
        <v>0.21029192019399839</v>
      </c>
      <c r="BL92" s="1427">
        <v>0.20416691280970717</v>
      </c>
      <c r="BM92" s="1427">
        <v>0.19822030369874483</v>
      </c>
      <c r="BN92" s="1427">
        <v>0.19244689679489788</v>
      </c>
      <c r="BO92" s="1427">
        <v>0.18684164737368725</v>
      </c>
      <c r="BP92" s="1427">
        <v>0.18139965764435656</v>
      </c>
      <c r="BQ92" s="1427">
        <v>0.17611617247024908</v>
      </c>
      <c r="BR92" s="1427">
        <v>0.17098657521383406</v>
      </c>
      <c r="BS92" s="1427">
        <v>0.1660063837027515</v>
      </c>
      <c r="BT92" s="1427">
        <v>0.16117124631335097</v>
      </c>
      <c r="BU92" s="1427">
        <v>0.15647693816830191</v>
      </c>
      <c r="BV92" s="1427">
        <v>0.1519193574449533</v>
      </c>
      <c r="BW92" s="1427">
        <v>0.1474945217912168</v>
      </c>
      <c r="BX92" s="1427">
        <v>0.14319856484584156</v>
      </c>
      <c r="BY92" s="1427">
        <v>0.13902773286004036</v>
      </c>
      <c r="BZ92" s="1427">
        <v>0.13497838141751492</v>
      </c>
      <c r="CA92" s="1427">
        <v>0.13104697225001449</v>
      </c>
      <c r="CB92" s="1427">
        <v>0.12723007014564514</v>
      </c>
      <c r="CC92" s="1427">
        <v>0.12352433994722828</v>
      </c>
      <c r="CD92" s="1427">
        <v>0.11992654363808571</v>
      </c>
      <c r="CE92" s="1427">
        <v>0.11643353751270456</v>
      </c>
      <c r="CF92" s="1427">
        <v>0.11304226942981026</v>
      </c>
      <c r="CG92" s="1427">
        <v>0.10974977614544684</v>
      </c>
      <c r="CH92" s="1427">
        <v>0.10655318072373479</v>
      </c>
      <c r="CI92" s="1427">
        <v>0.10344969002304348</v>
      </c>
      <c r="CJ92" s="1427">
        <v>0.10043659225538201</v>
      </c>
      <c r="CK92" s="1427">
        <v>9.7511254616875737E-2</v>
      </c>
      <c r="CL92" s="1427">
        <v>9.5132931333537313E-2</v>
      </c>
      <c r="CM92" s="1427">
        <v>9.2812615935158368E-2</v>
      </c>
      <c r="CN92" s="1427">
        <v>9.0548893595276458E-2</v>
      </c>
      <c r="CO92" s="1427">
        <v>8.834038399539168E-2</v>
      </c>
      <c r="CP92" s="1428">
        <v>8.6185740483308959E-2</v>
      </c>
    </row>
    <row r="93" spans="2:94" ht="30" customHeight="1" x14ac:dyDescent="0.3">
      <c r="B93" s="1729"/>
      <c r="C93" s="1446" t="s">
        <v>1344</v>
      </c>
      <c r="D93" s="1446" t="s">
        <v>1345</v>
      </c>
      <c r="E93" s="1260" t="s">
        <v>1322</v>
      </c>
      <c r="F93" s="1260" t="s">
        <v>1330</v>
      </c>
      <c r="G93" s="1260"/>
      <c r="H93" s="1260" t="s">
        <v>1324</v>
      </c>
      <c r="I93" s="1261"/>
      <c r="J93" s="1259"/>
      <c r="K93" s="1259"/>
      <c r="L93" s="1259"/>
      <c r="M93" s="1259"/>
      <c r="N93" s="1426"/>
      <c r="O93" s="1427"/>
      <c r="P93" s="1427"/>
      <c r="Q93" s="1427"/>
      <c r="R93" s="1427"/>
      <c r="S93" s="1427"/>
      <c r="T93" s="1427"/>
      <c r="U93" s="1427"/>
      <c r="V93" s="1427"/>
      <c r="W93" s="1427"/>
      <c r="X93" s="1427"/>
      <c r="Y93" s="1427"/>
      <c r="Z93" s="1427"/>
      <c r="AA93" s="1427"/>
      <c r="AB93" s="1427"/>
      <c r="AC93" s="1427"/>
      <c r="AD93" s="1427"/>
      <c r="AE93" s="1427"/>
      <c r="AF93" s="1427"/>
      <c r="AG93" s="1427"/>
      <c r="AH93" s="1427"/>
      <c r="AI93" s="1427"/>
      <c r="AJ93" s="1427"/>
      <c r="AK93" s="1427"/>
      <c r="AL93" s="1427"/>
      <c r="AM93" s="1427"/>
      <c r="AN93" s="1427"/>
      <c r="AO93" s="1427"/>
      <c r="AP93" s="1427"/>
      <c r="AQ93" s="1427"/>
      <c r="AR93" s="1427"/>
      <c r="AS93" s="1427"/>
      <c r="AT93" s="1427"/>
      <c r="AU93" s="1427"/>
      <c r="AV93" s="1427"/>
      <c r="AW93" s="1427"/>
      <c r="AX93" s="1427"/>
      <c r="AY93" s="1427"/>
      <c r="AZ93" s="1427"/>
      <c r="BA93" s="1427"/>
      <c r="BB93" s="1427"/>
      <c r="BC93" s="1427"/>
      <c r="BD93" s="1427"/>
      <c r="BE93" s="1427"/>
      <c r="BF93" s="1427"/>
      <c r="BG93" s="1427"/>
      <c r="BH93" s="1427"/>
      <c r="BI93" s="1427"/>
      <c r="BJ93" s="1427"/>
      <c r="BK93" s="1427"/>
      <c r="BL93" s="1427"/>
      <c r="BM93" s="1427"/>
      <c r="BN93" s="1427"/>
      <c r="BO93" s="1427"/>
      <c r="BP93" s="1427"/>
      <c r="BQ93" s="1427"/>
      <c r="BR93" s="1427"/>
      <c r="BS93" s="1427"/>
      <c r="BT93" s="1427"/>
      <c r="BU93" s="1427"/>
      <c r="BV93" s="1427"/>
      <c r="BW93" s="1427"/>
      <c r="BX93" s="1427"/>
      <c r="BY93" s="1427"/>
      <c r="BZ93" s="1427"/>
      <c r="CA93" s="1427"/>
      <c r="CB93" s="1427"/>
      <c r="CC93" s="1427"/>
      <c r="CD93" s="1427"/>
      <c r="CE93" s="1427"/>
      <c r="CF93" s="1427"/>
      <c r="CG93" s="1427"/>
      <c r="CH93" s="1427"/>
      <c r="CI93" s="1427"/>
      <c r="CJ93" s="1427"/>
      <c r="CK93" s="1427"/>
      <c r="CL93" s="1427"/>
      <c r="CM93" s="1427"/>
      <c r="CN93" s="1427"/>
      <c r="CO93" s="1427"/>
      <c r="CP93" s="1428"/>
    </row>
    <row r="94" spans="2:94" ht="30" customHeight="1" x14ac:dyDescent="0.3">
      <c r="B94" s="1729"/>
      <c r="C94" s="1446" t="s">
        <v>1344</v>
      </c>
      <c r="D94" s="1446" t="s">
        <v>1345</v>
      </c>
      <c r="E94" s="1264" t="s">
        <v>1322</v>
      </c>
      <c r="F94" s="1260" t="s">
        <v>1325</v>
      </c>
      <c r="G94" s="1260"/>
      <c r="H94" s="1285" t="s">
        <v>1324</v>
      </c>
      <c r="I94" s="1284"/>
      <c r="J94" s="1259"/>
      <c r="K94" s="1259"/>
      <c r="L94" s="1259"/>
      <c r="M94" s="1259"/>
      <c r="N94" s="1426"/>
      <c r="O94" s="1427"/>
      <c r="P94" s="1427"/>
      <c r="Q94" s="1427"/>
      <c r="R94" s="1427"/>
      <c r="S94" s="1427"/>
      <c r="T94" s="1427"/>
      <c r="U94" s="1427"/>
      <c r="V94" s="1427"/>
      <c r="W94" s="1427"/>
      <c r="X94" s="1427"/>
      <c r="Y94" s="1427"/>
      <c r="Z94" s="1427"/>
      <c r="AA94" s="1427"/>
      <c r="AB94" s="1427"/>
      <c r="AC94" s="1427"/>
      <c r="AD94" s="1427"/>
      <c r="AE94" s="1427"/>
      <c r="AF94" s="1427"/>
      <c r="AG94" s="1427"/>
      <c r="AH94" s="1427"/>
      <c r="AI94" s="1427"/>
      <c r="AJ94" s="1427"/>
      <c r="AK94" s="1427"/>
      <c r="AL94" s="1427"/>
      <c r="AM94" s="1427"/>
      <c r="AN94" s="1427"/>
      <c r="AO94" s="1427"/>
      <c r="AP94" s="1427"/>
      <c r="AQ94" s="1427"/>
      <c r="AR94" s="1427"/>
      <c r="AS94" s="1427"/>
      <c r="AT94" s="1427"/>
      <c r="AU94" s="1427"/>
      <c r="AV94" s="1427"/>
      <c r="AW94" s="1427"/>
      <c r="AX94" s="1427"/>
      <c r="AY94" s="1427"/>
      <c r="AZ94" s="1427"/>
      <c r="BA94" s="1427"/>
      <c r="BB94" s="1427"/>
      <c r="BC94" s="1427"/>
      <c r="BD94" s="1427"/>
      <c r="BE94" s="1427"/>
      <c r="BF94" s="1427"/>
      <c r="BG94" s="1427"/>
      <c r="BH94" s="1427"/>
      <c r="BI94" s="1427"/>
      <c r="BJ94" s="1427"/>
      <c r="BK94" s="1427"/>
      <c r="BL94" s="1427"/>
      <c r="BM94" s="1427"/>
      <c r="BN94" s="1427"/>
      <c r="BO94" s="1427"/>
      <c r="BP94" s="1427"/>
      <c r="BQ94" s="1427"/>
      <c r="BR94" s="1427"/>
      <c r="BS94" s="1427"/>
      <c r="BT94" s="1427"/>
      <c r="BU94" s="1427"/>
      <c r="BV94" s="1427"/>
      <c r="BW94" s="1427"/>
      <c r="BX94" s="1427"/>
      <c r="BY94" s="1427"/>
      <c r="BZ94" s="1427"/>
      <c r="CA94" s="1427"/>
      <c r="CB94" s="1427"/>
      <c r="CC94" s="1427"/>
      <c r="CD94" s="1427"/>
      <c r="CE94" s="1427"/>
      <c r="CF94" s="1427"/>
      <c r="CG94" s="1427"/>
      <c r="CH94" s="1427"/>
      <c r="CI94" s="1427"/>
      <c r="CJ94" s="1427"/>
      <c r="CK94" s="1427"/>
      <c r="CL94" s="1427"/>
      <c r="CM94" s="1427"/>
      <c r="CN94" s="1427"/>
      <c r="CO94" s="1427"/>
      <c r="CP94" s="1428"/>
    </row>
    <row r="95" spans="2:94" s="1278" customFormat="1" ht="30" customHeight="1" thickBot="1" x14ac:dyDescent="0.35">
      <c r="B95" s="1729"/>
      <c r="C95" s="1446" t="s">
        <v>1344</v>
      </c>
      <c r="D95" s="1446" t="s">
        <v>1345</v>
      </c>
      <c r="E95" s="1280" t="s">
        <v>1326</v>
      </c>
      <c r="F95" s="1279"/>
      <c r="G95" s="1279"/>
      <c r="H95" s="1279" t="s">
        <v>163</v>
      </c>
      <c r="I95" s="1283"/>
      <c r="J95" s="1282"/>
      <c r="K95" s="1282"/>
      <c r="L95" s="1282"/>
      <c r="M95" s="1282"/>
      <c r="N95" s="1434" t="str">
        <f>IF((N89+N90)*N92&lt;&gt;0,(N89+N90)*N92,"")</f>
        <v/>
      </c>
      <c r="O95" s="1435">
        <v>4.504167409364835E-2</v>
      </c>
      <c r="P95" s="1435">
        <v>0.10829956495368455</v>
      </c>
      <c r="Q95" s="1435">
        <v>0.20855459515371749</v>
      </c>
      <c r="R95" s="1435">
        <v>0.30074594395113824</v>
      </c>
      <c r="S95" s="1435">
        <v>0.38534353784867587</v>
      </c>
      <c r="T95" s="1435">
        <v>0.462793416387624</v>
      </c>
      <c r="U95" s="1435">
        <v>0.62512243237722076</v>
      </c>
      <c r="V95" s="1435">
        <v>0.86242878906948806</v>
      </c>
      <c r="W95" s="1435">
        <v>1.2510681170894427</v>
      </c>
      <c r="X95" s="1435">
        <v>1.6077209643555159</v>
      </c>
      <c r="Y95" s="1435">
        <v>2.3613028178668816</v>
      </c>
      <c r="Z95" s="1435">
        <v>2.2638442523472682</v>
      </c>
      <c r="AA95" s="1435">
        <v>2.1702768181212759</v>
      </c>
      <c r="AB95" s="1435">
        <v>2.0804487956907036</v>
      </c>
      <c r="AC95" s="1435">
        <v>1.9942142770738915</v>
      </c>
      <c r="AD95" s="1435">
        <v>1.9114329462552238</v>
      </c>
      <c r="AE95" s="1435">
        <v>1.8319698678376826</v>
      </c>
      <c r="AF95" s="1435">
        <v>1.7556952835947437</v>
      </c>
      <c r="AG95" s="1435">
        <v>1.6824844166290338</v>
      </c>
      <c r="AH95" s="1435">
        <v>1.612217282855942</v>
      </c>
      <c r="AI95" s="1435">
        <v>1.5447785095407276</v>
      </c>
      <c r="AJ95" s="1435">
        <v>1.4800571606276594</v>
      </c>
      <c r="AK95" s="1435">
        <v>1.4179465686093278</v>
      </c>
      <c r="AL95" s="1435">
        <v>1.3583441726935512</v>
      </c>
      <c r="AM95" s="1435">
        <v>1.3011513630342113</v>
      </c>
      <c r="AN95" s="1435">
        <v>1.2470000364202616</v>
      </c>
      <c r="AO95" s="1435">
        <v>1.1953742514539101</v>
      </c>
      <c r="AP95" s="1435">
        <v>1.1464924452926573</v>
      </c>
      <c r="AQ95" s="1435">
        <v>1.0995496840550683</v>
      </c>
      <c r="AR95" s="1435">
        <v>1.0544707234253623</v>
      </c>
      <c r="AS95" s="1435">
        <v>1.0160918469447322</v>
      </c>
      <c r="AT95" s="1435">
        <v>0.98054640983144814</v>
      </c>
      <c r="AU95" s="1435">
        <v>0.94765844985681691</v>
      </c>
      <c r="AV95" s="1435">
        <v>0.91866777435708458</v>
      </c>
      <c r="AW95" s="1435">
        <v>0.89056194299064695</v>
      </c>
      <c r="AX95" s="1435">
        <v>0.85668445934835347</v>
      </c>
      <c r="AY95" s="1435">
        <v>0.82402492531526172</v>
      </c>
      <c r="AZ95" s="1435">
        <v>0.79254113187019104</v>
      </c>
      <c r="BA95" s="1435">
        <v>0.76219229553900636</v>
      </c>
      <c r="BB95" s="1435">
        <v>0.73293901116048854</v>
      </c>
      <c r="BC95" s="1435">
        <v>0.70731687736045878</v>
      </c>
      <c r="BD95" s="1435">
        <v>0.68381487119671591</v>
      </c>
      <c r="BE95" s="1435">
        <v>0.66350780325277714</v>
      </c>
      <c r="BF95" s="1435">
        <v>0.6438035663153977</v>
      </c>
      <c r="BG95" s="1435">
        <v>0.62468427123851633</v>
      </c>
      <c r="BH95" s="1435">
        <v>0.60613255955881418</v>
      </c>
      <c r="BI95" s="1435">
        <v>0.59352011046688269</v>
      </c>
      <c r="BJ95" s="1435">
        <v>0.5863597383287209</v>
      </c>
      <c r="BK95" s="1435">
        <v>0.58927136950486503</v>
      </c>
      <c r="BL95" s="1435">
        <v>0.59151596083636615</v>
      </c>
      <c r="BM95" s="1435">
        <v>0.56953215606133523</v>
      </c>
      <c r="BN95" s="1435">
        <v>0.54849240935472965</v>
      </c>
      <c r="BO95" s="1435">
        <v>0.52851600289421508</v>
      </c>
      <c r="BP95" s="1435">
        <v>0.50923796456532511</v>
      </c>
      <c r="BQ95" s="1435">
        <v>0.49063455944043233</v>
      </c>
      <c r="BR95" s="1435">
        <v>0.47268284275800315</v>
      </c>
      <c r="BS95" s="1435">
        <v>0.45607337555195077</v>
      </c>
      <c r="BT95" s="1435">
        <v>0.44072243816378331</v>
      </c>
      <c r="BU95" s="1435">
        <v>0.42722248101794014</v>
      </c>
      <c r="BV95" s="1435">
        <v>0.41413504829217956</v>
      </c>
      <c r="BW95" s="1435">
        <v>0.39828125388212632</v>
      </c>
      <c r="BX95" s="1435">
        <v>0.38299965567442806</v>
      </c>
      <c r="BY95" s="1435">
        <v>0.36827037120105138</v>
      </c>
      <c r="BZ95" s="1435">
        <v>0.35407419078116481</v>
      </c>
      <c r="CA95" s="1435">
        <v>0.34039255519667089</v>
      </c>
      <c r="CB95" s="1435">
        <v>0.32720753409744291</v>
      </c>
      <c r="CC95" s="1435">
        <v>0.31450180511269821</v>
      </c>
      <c r="CD95" s="1435">
        <v>0.30225863364569272</v>
      </c>
      <c r="CE95" s="1435">
        <v>0.29046185332965291</v>
      </c>
      <c r="CF95" s="1435">
        <v>0.27909584712356705</v>
      </c>
      <c r="CG95" s="1435">
        <v>0.26814552902714228</v>
      </c>
      <c r="CH95" s="1435">
        <v>0.25759632639489682</v>
      </c>
      <c r="CI95" s="1435">
        <v>0.24743416282999828</v>
      </c>
      <c r="CJ95" s="1435">
        <v>0.23764544163907966</v>
      </c>
      <c r="CK95" s="1435">
        <v>0.22821702982986694</v>
      </c>
      <c r="CL95" s="1435">
        <v>0.22036857963317646</v>
      </c>
      <c r="CM95" s="1435">
        <v>0.21284691542997791</v>
      </c>
      <c r="CN95" s="1435">
        <v>0.20571657510175326</v>
      </c>
      <c r="CO95" s="1435">
        <v>0.19880743702902207</v>
      </c>
      <c r="CP95" s="1436">
        <v>0.19211295258321651</v>
      </c>
    </row>
    <row r="96" spans="2:94" s="1278" customFormat="1" ht="30" customHeight="1" thickBot="1" x14ac:dyDescent="0.35">
      <c r="B96" s="1730"/>
      <c r="C96" s="1442" t="s">
        <v>1344</v>
      </c>
      <c r="D96" s="1438" t="s">
        <v>1345</v>
      </c>
      <c r="E96" s="1280" t="s">
        <v>1327</v>
      </c>
      <c r="F96" s="1279"/>
      <c r="G96" s="1279"/>
      <c r="H96" s="1279" t="s">
        <v>163</v>
      </c>
      <c r="I96" s="1731">
        <f>IF(SUM($N95:$CP95)&lt;&gt;0,SUM($N95:$CP95),"")</f>
        <v>63.86169001162159</v>
      </c>
      <c r="J96" s="1732"/>
      <c r="K96" s="1732"/>
      <c r="L96" s="1732"/>
      <c r="M96" s="1733"/>
    </row>
    <row r="97" spans="2:94" ht="30" customHeight="1" x14ac:dyDescent="0.3">
      <c r="B97" s="1728" t="s">
        <v>1313</v>
      </c>
      <c r="C97" s="1446" t="s">
        <v>1346</v>
      </c>
      <c r="D97" s="1446" t="s">
        <v>1347</v>
      </c>
      <c r="E97" s="1269" t="s">
        <v>1316</v>
      </c>
      <c r="F97" s="1288"/>
      <c r="G97" s="1288"/>
      <c r="H97" s="1270" t="s">
        <v>163</v>
      </c>
      <c r="I97" s="1266"/>
      <c r="J97" s="1265"/>
      <c r="K97" s="1265"/>
      <c r="L97" s="1265"/>
      <c r="M97" s="1265"/>
      <c r="N97" s="1423"/>
      <c r="O97" s="1424">
        <v>0.98984045706227086</v>
      </c>
      <c r="P97" s="1424">
        <v>1.4847606855934061</v>
      </c>
      <c r="Q97" s="1424">
        <v>2.4746011426556769</v>
      </c>
      <c r="R97" s="1424">
        <v>2.4746011426556769</v>
      </c>
      <c r="S97" s="1424">
        <v>2.4746011426556769</v>
      </c>
      <c r="T97" s="1424">
        <v>2.4746011426556769</v>
      </c>
      <c r="U97" s="1424">
        <v>4.9492022853113538</v>
      </c>
      <c r="V97" s="1424">
        <v>7.4238034279670311</v>
      </c>
      <c r="W97" s="1424">
        <v>12.373005713278385</v>
      </c>
      <c r="X97" s="1424">
        <v>12.373005713278385</v>
      </c>
      <c r="Y97" s="1424">
        <v>0</v>
      </c>
      <c r="Z97" s="1424">
        <v>0</v>
      </c>
      <c r="AA97" s="1424">
        <v>0</v>
      </c>
      <c r="AB97" s="1424">
        <v>0</v>
      </c>
      <c r="AC97" s="1424">
        <v>0</v>
      </c>
      <c r="AD97" s="1424">
        <v>0</v>
      </c>
      <c r="AE97" s="1424">
        <v>0</v>
      </c>
      <c r="AF97" s="1424">
        <v>0</v>
      </c>
      <c r="AG97" s="1424">
        <v>0</v>
      </c>
      <c r="AH97" s="1424">
        <v>0</v>
      </c>
      <c r="AI97" s="1424">
        <v>0</v>
      </c>
      <c r="AJ97" s="1424">
        <v>0</v>
      </c>
      <c r="AK97" s="1424">
        <v>0</v>
      </c>
      <c r="AL97" s="1424">
        <v>0</v>
      </c>
      <c r="AM97" s="1424">
        <v>0</v>
      </c>
      <c r="AN97" s="1424">
        <v>7.3811654977362015E-2</v>
      </c>
      <c r="AO97" s="1424">
        <v>0.11071748246604303</v>
      </c>
      <c r="AP97" s="1424">
        <v>0.18452913744340504</v>
      </c>
      <c r="AQ97" s="1424">
        <v>0.18452913744340504</v>
      </c>
      <c r="AR97" s="1424">
        <v>0.18452913744340504</v>
      </c>
      <c r="AS97" s="1424">
        <v>0.18452913744340504</v>
      </c>
      <c r="AT97" s="1424">
        <v>0.36905827488681009</v>
      </c>
      <c r="AU97" s="1424">
        <v>0.55358741233021513</v>
      </c>
      <c r="AV97" s="1424">
        <v>0.92264568721702522</v>
      </c>
      <c r="AW97" s="1424">
        <v>0.92264568721702522</v>
      </c>
      <c r="AX97" s="1424">
        <v>0</v>
      </c>
      <c r="AY97" s="1424">
        <v>0</v>
      </c>
      <c r="AZ97" s="1424">
        <v>0</v>
      </c>
      <c r="BA97" s="1424">
        <v>0</v>
      </c>
      <c r="BB97" s="1424">
        <v>0</v>
      </c>
      <c r="BC97" s="1424">
        <v>0.35737323042629987</v>
      </c>
      <c r="BD97" s="1424">
        <v>0.53605984563944975</v>
      </c>
      <c r="BE97" s="1424">
        <v>0.89343307606574962</v>
      </c>
      <c r="BF97" s="1424">
        <v>0.89343307606574962</v>
      </c>
      <c r="BG97" s="1424">
        <v>0.89343307606574962</v>
      </c>
      <c r="BH97" s="1424">
        <v>0.89343307606574962</v>
      </c>
      <c r="BI97" s="1424">
        <v>1.7868661521314992</v>
      </c>
      <c r="BJ97" s="1424">
        <v>2.6802992281972493</v>
      </c>
      <c r="BK97" s="1424">
        <v>4.4671653803287485</v>
      </c>
      <c r="BL97" s="1424">
        <v>4.4671653803287485</v>
      </c>
      <c r="BM97" s="1424">
        <v>7.3811654977362015E-2</v>
      </c>
      <c r="BN97" s="1424">
        <v>0.11071748246604303</v>
      </c>
      <c r="BO97" s="1424">
        <v>0.18452913744340504</v>
      </c>
      <c r="BP97" s="1424">
        <v>0.18452913744340504</v>
      </c>
      <c r="BQ97" s="1424">
        <v>0.18452913744340504</v>
      </c>
      <c r="BR97" s="1424">
        <v>0.18452913744340504</v>
      </c>
      <c r="BS97" s="1424">
        <v>0.36905827488681009</v>
      </c>
      <c r="BT97" s="1424">
        <v>0.55358741233021513</v>
      </c>
      <c r="BU97" s="1424">
        <v>0.92264568721702522</v>
      </c>
      <c r="BV97" s="1424">
        <v>0.92264568721702522</v>
      </c>
      <c r="BW97" s="1424">
        <v>0</v>
      </c>
      <c r="BX97" s="1424">
        <v>0</v>
      </c>
      <c r="BY97" s="1424">
        <v>0</v>
      </c>
      <c r="BZ97" s="1424">
        <v>0</v>
      </c>
      <c r="CA97" s="1424">
        <v>0</v>
      </c>
      <c r="CB97" s="1424">
        <v>0</v>
      </c>
      <c r="CC97" s="1424">
        <v>0</v>
      </c>
      <c r="CD97" s="1424">
        <v>0</v>
      </c>
      <c r="CE97" s="1424">
        <v>0</v>
      </c>
      <c r="CF97" s="1424">
        <v>0</v>
      </c>
      <c r="CG97" s="1424">
        <v>0</v>
      </c>
      <c r="CH97" s="1424">
        <v>0</v>
      </c>
      <c r="CI97" s="1424">
        <v>0</v>
      </c>
      <c r="CJ97" s="1424">
        <v>0</v>
      </c>
      <c r="CK97" s="1424">
        <v>0</v>
      </c>
      <c r="CL97" s="1424">
        <v>7.3811654977362015E-2</v>
      </c>
      <c r="CM97" s="1424">
        <v>0.11071748246604303</v>
      </c>
      <c r="CN97" s="1424">
        <v>0.18452913744340504</v>
      </c>
      <c r="CO97" s="1424">
        <v>0.18452913744340504</v>
      </c>
      <c r="CP97" s="1425">
        <v>0.18452913744340504</v>
      </c>
    </row>
    <row r="98" spans="2:94" ht="30" customHeight="1" x14ac:dyDescent="0.3">
      <c r="B98" s="1729"/>
      <c r="C98" s="1446" t="s">
        <v>1346</v>
      </c>
      <c r="D98" s="1446" t="s">
        <v>1347</v>
      </c>
      <c r="E98" s="1260" t="s">
        <v>1317</v>
      </c>
      <c r="F98" s="1287"/>
      <c r="G98" s="1287"/>
      <c r="H98" s="1264" t="s">
        <v>1318</v>
      </c>
      <c r="I98" s="1261"/>
      <c r="J98" s="1259"/>
      <c r="K98" s="1259"/>
      <c r="L98" s="1259"/>
      <c r="M98" s="1259"/>
      <c r="N98" s="1426"/>
      <c r="O98" s="1427">
        <v>0</v>
      </c>
      <c r="P98" s="1427">
        <v>0</v>
      </c>
      <c r="Q98" s="1427">
        <v>0</v>
      </c>
      <c r="R98" s="1427">
        <v>0</v>
      </c>
      <c r="S98" s="1427">
        <v>0</v>
      </c>
      <c r="T98" s="1427">
        <v>0</v>
      </c>
      <c r="U98" s="1427">
        <v>0</v>
      </c>
      <c r="V98" s="1427">
        <v>0</v>
      </c>
      <c r="W98" s="1427">
        <v>0</v>
      </c>
      <c r="X98" s="1427">
        <v>0</v>
      </c>
      <c r="Y98" s="1427">
        <v>1.4033205565909319</v>
      </c>
      <c r="Z98" s="1427">
        <v>1.4033205565909319</v>
      </c>
      <c r="AA98" s="1427">
        <v>1.4033205565909319</v>
      </c>
      <c r="AB98" s="1427">
        <v>1.4033205565909319</v>
      </c>
      <c r="AC98" s="1427">
        <v>1.4033205565909319</v>
      </c>
      <c r="AD98" s="1427">
        <v>1.4033205565909319</v>
      </c>
      <c r="AE98" s="1427">
        <v>1.4033205565909319</v>
      </c>
      <c r="AF98" s="1427">
        <v>1.4033205565909319</v>
      </c>
      <c r="AG98" s="1427">
        <v>1.4033205565909319</v>
      </c>
      <c r="AH98" s="1427">
        <v>1.4033205565909319</v>
      </c>
      <c r="AI98" s="1427">
        <v>1.4033205565909319</v>
      </c>
      <c r="AJ98" s="1427">
        <v>1.4033205565909319</v>
      </c>
      <c r="AK98" s="1427">
        <v>1.4033205565909319</v>
      </c>
      <c r="AL98" s="1427">
        <v>1.4033205565909319</v>
      </c>
      <c r="AM98" s="1427">
        <v>1.4033205565909319</v>
      </c>
      <c r="AN98" s="1427">
        <v>1.4033205565909319</v>
      </c>
      <c r="AO98" s="1427">
        <v>1.4033205565909319</v>
      </c>
      <c r="AP98" s="1427">
        <v>1.4033205565909319</v>
      </c>
      <c r="AQ98" s="1427">
        <v>1.4033205565909319</v>
      </c>
      <c r="AR98" s="1427">
        <v>1.4033205565909319</v>
      </c>
      <c r="AS98" s="1427">
        <v>1.4033205565909319</v>
      </c>
      <c r="AT98" s="1427">
        <v>1.4033205565909319</v>
      </c>
      <c r="AU98" s="1427">
        <v>1.4033205565909319</v>
      </c>
      <c r="AV98" s="1427">
        <v>1.4033205565909319</v>
      </c>
      <c r="AW98" s="1427">
        <v>1.4033205565909319</v>
      </c>
      <c r="AX98" s="1427">
        <v>1.4033205565909319</v>
      </c>
      <c r="AY98" s="1427">
        <v>1.4033205565909319</v>
      </c>
      <c r="AZ98" s="1427">
        <v>1.4033205565909319</v>
      </c>
      <c r="BA98" s="1427">
        <v>1.4033205565909319</v>
      </c>
      <c r="BB98" s="1427">
        <v>1.4033205565909319</v>
      </c>
      <c r="BC98" s="1427">
        <v>1.4033205565909319</v>
      </c>
      <c r="BD98" s="1427">
        <v>1.4033205565909319</v>
      </c>
      <c r="BE98" s="1427">
        <v>1.4033205565909319</v>
      </c>
      <c r="BF98" s="1427">
        <v>1.4033205565909319</v>
      </c>
      <c r="BG98" s="1427">
        <v>1.4033205565909319</v>
      </c>
      <c r="BH98" s="1427">
        <v>1.4033205565909319</v>
      </c>
      <c r="BI98" s="1427">
        <v>1.4033205565909319</v>
      </c>
      <c r="BJ98" s="1427">
        <v>1.4033205565909319</v>
      </c>
      <c r="BK98" s="1427">
        <v>1.4033205565909319</v>
      </c>
      <c r="BL98" s="1427">
        <v>1.4033205565909319</v>
      </c>
      <c r="BM98" s="1427">
        <v>1.4033205565909319</v>
      </c>
      <c r="BN98" s="1427">
        <v>1.4033205565909319</v>
      </c>
      <c r="BO98" s="1427">
        <v>1.4033205565909319</v>
      </c>
      <c r="BP98" s="1427">
        <v>1.4033205565909319</v>
      </c>
      <c r="BQ98" s="1427">
        <v>1.4033205565909319</v>
      </c>
      <c r="BR98" s="1427">
        <v>1.4033205565909319</v>
      </c>
      <c r="BS98" s="1427">
        <v>1.4033205565909319</v>
      </c>
      <c r="BT98" s="1427">
        <v>1.4033205565909319</v>
      </c>
      <c r="BU98" s="1427">
        <v>1.4033205565909319</v>
      </c>
      <c r="BV98" s="1427">
        <v>1.4033205565909319</v>
      </c>
      <c r="BW98" s="1427">
        <v>1.4033205565909319</v>
      </c>
      <c r="BX98" s="1427">
        <v>1.4033205565909319</v>
      </c>
      <c r="BY98" s="1427">
        <v>1.4033205565909319</v>
      </c>
      <c r="BZ98" s="1427">
        <v>1.4033205565909319</v>
      </c>
      <c r="CA98" s="1427">
        <v>1.4033205565909319</v>
      </c>
      <c r="CB98" s="1427">
        <v>1.4033205565909319</v>
      </c>
      <c r="CC98" s="1427">
        <v>1.4033205565909319</v>
      </c>
      <c r="CD98" s="1427">
        <v>1.4033205565909319</v>
      </c>
      <c r="CE98" s="1427">
        <v>1.4033205565909319</v>
      </c>
      <c r="CF98" s="1427">
        <v>1.4033205565909319</v>
      </c>
      <c r="CG98" s="1427">
        <v>1.4033205565909319</v>
      </c>
      <c r="CH98" s="1427">
        <v>1.4033205565909319</v>
      </c>
      <c r="CI98" s="1427">
        <v>1.4033205565909319</v>
      </c>
      <c r="CJ98" s="1427">
        <v>1.4033205565909319</v>
      </c>
      <c r="CK98" s="1427">
        <v>1.4033205565909319</v>
      </c>
      <c r="CL98" s="1427">
        <v>1.4033205565909319</v>
      </c>
      <c r="CM98" s="1427">
        <v>1.4033205565909319</v>
      </c>
      <c r="CN98" s="1427">
        <v>1.4033205565909319</v>
      </c>
      <c r="CO98" s="1427">
        <v>1.4033205565909319</v>
      </c>
      <c r="CP98" s="1428">
        <v>1.4033205565909319</v>
      </c>
    </row>
    <row r="99" spans="2:94" ht="30" customHeight="1" x14ac:dyDescent="0.3">
      <c r="B99" s="1729"/>
      <c r="C99" s="1446" t="s">
        <v>1346</v>
      </c>
      <c r="D99" s="1446" t="s">
        <v>1347</v>
      </c>
      <c r="E99" s="1260" t="s">
        <v>1319</v>
      </c>
      <c r="F99" s="1287"/>
      <c r="G99" s="1287"/>
      <c r="H99" s="1264" t="s">
        <v>1318</v>
      </c>
      <c r="I99" s="1261"/>
      <c r="J99" s="1259"/>
      <c r="K99" s="1259"/>
      <c r="L99" s="1259"/>
      <c r="M99" s="1259"/>
      <c r="N99" s="1426"/>
      <c r="O99" s="1427">
        <v>4.7497831074262822E-2</v>
      </c>
      <c r="P99" s="1427">
        <v>0.1181935739307769</v>
      </c>
      <c r="Q99" s="1427">
        <v>0.23556064222923359</v>
      </c>
      <c r="R99" s="1427">
        <v>0.35155020114048996</v>
      </c>
      <c r="S99" s="1427">
        <v>0.46616225066454586</v>
      </c>
      <c r="T99" s="1427">
        <v>0.5793967908014015</v>
      </c>
      <c r="U99" s="1427">
        <v>0.8099983992367138</v>
      </c>
      <c r="V99" s="1427">
        <v>1.1565895665832822</v>
      </c>
      <c r="W99" s="1427">
        <v>1.736537361139564</v>
      </c>
      <c r="X99" s="1427">
        <v>2.3095976087598435</v>
      </c>
      <c r="Y99" s="1427">
        <v>2.2820474210158359</v>
      </c>
      <c r="Z99" s="1427">
        <v>2.2544972332718287</v>
      </c>
      <c r="AA99" s="1427">
        <v>2.2269470455278211</v>
      </c>
      <c r="AB99" s="1427">
        <v>2.1993968577838134</v>
      </c>
      <c r="AC99" s="1427">
        <v>2.1718466700398062</v>
      </c>
      <c r="AD99" s="1427">
        <v>2.1442964822957986</v>
      </c>
      <c r="AE99" s="1427">
        <v>2.1167462945517914</v>
      </c>
      <c r="AF99" s="1427">
        <v>2.0891961068077833</v>
      </c>
      <c r="AG99" s="1427">
        <v>2.0616459190637766</v>
      </c>
      <c r="AH99" s="1427">
        <v>2.034095731319769</v>
      </c>
      <c r="AI99" s="1427">
        <v>2.0065455435757613</v>
      </c>
      <c r="AJ99" s="1427">
        <v>1.9789953558317539</v>
      </c>
      <c r="AK99" s="1427">
        <v>1.9514451680877465</v>
      </c>
      <c r="AL99" s="1427">
        <v>1.9238949803437391</v>
      </c>
      <c r="AM99" s="1427">
        <v>1.8963447925997317</v>
      </c>
      <c r="AN99" s="1427">
        <v>1.870949905181063</v>
      </c>
      <c r="AO99" s="1427">
        <v>1.846632667925064</v>
      </c>
      <c r="AP99" s="1427">
        <v>1.8244707309944042</v>
      </c>
      <c r="AQ99" s="1427">
        <v>1.8023087940637441</v>
      </c>
      <c r="AR99" s="1427">
        <v>1.7801468571330838</v>
      </c>
      <c r="AS99" s="1427">
        <v>1.7579849202024238</v>
      </c>
      <c r="AT99" s="1427">
        <v>1.7412112340851114</v>
      </c>
      <c r="AU99" s="1427">
        <v>1.7298257987811461</v>
      </c>
      <c r="AV99" s="1427">
        <v>1.7292168651038755</v>
      </c>
      <c r="AW99" s="1427">
        <v>1.7286079314266054</v>
      </c>
      <c r="AX99" s="1427">
        <v>1.701057743682598</v>
      </c>
      <c r="AY99" s="1427">
        <v>1.6735075559385906</v>
      </c>
      <c r="AZ99" s="1427">
        <v>1.6459573681945832</v>
      </c>
      <c r="BA99" s="1427">
        <v>1.6184071804505757</v>
      </c>
      <c r="BB99" s="1427">
        <v>1.5908569927065683</v>
      </c>
      <c r="BC99" s="1427">
        <v>1.5737421032910086</v>
      </c>
      <c r="BD99" s="1427">
        <v>1.5618448630396728</v>
      </c>
      <c r="BE99" s="1427">
        <v>1.5603829211167852</v>
      </c>
      <c r="BF99" s="1427">
        <v>1.5589209791938974</v>
      </c>
      <c r="BG99" s="1427">
        <v>1.55745903727101</v>
      </c>
      <c r="BH99" s="1427">
        <v>1.5559970953481224</v>
      </c>
      <c r="BI99" s="1427">
        <v>1.5806233992463545</v>
      </c>
      <c r="BJ99" s="1427">
        <v>1.6313379489657067</v>
      </c>
      <c r="BK99" s="1427">
        <v>1.7342289903272987</v>
      </c>
      <c r="BL99" s="1427">
        <v>1.8371200316888907</v>
      </c>
      <c r="BM99" s="1427">
        <v>1.8117251442702222</v>
      </c>
      <c r="BN99" s="1427">
        <v>1.7874079070142233</v>
      </c>
      <c r="BO99" s="1427">
        <v>1.765245970083563</v>
      </c>
      <c r="BP99" s="1427">
        <v>1.7430840331529029</v>
      </c>
      <c r="BQ99" s="1427">
        <v>1.7209220962222427</v>
      </c>
      <c r="BR99" s="1427">
        <v>1.6987601592915829</v>
      </c>
      <c r="BS99" s="1427">
        <v>1.68198647317427</v>
      </c>
      <c r="BT99" s="1427">
        <v>1.6706010378703049</v>
      </c>
      <c r="BU99" s="1427">
        <v>1.6699921041930343</v>
      </c>
      <c r="BV99" s="1427">
        <v>1.669383170515764</v>
      </c>
      <c r="BW99" s="1427">
        <v>1.6418329827717564</v>
      </c>
      <c r="BX99" s="1427">
        <v>1.6142827950277492</v>
      </c>
      <c r="BY99" s="1427">
        <v>1.5867326072837413</v>
      </c>
      <c r="BZ99" s="1427">
        <v>1.5591824195397339</v>
      </c>
      <c r="CA99" s="1427">
        <v>1.5316322317957265</v>
      </c>
      <c r="CB99" s="1427">
        <v>1.5040820440517191</v>
      </c>
      <c r="CC99" s="1427">
        <v>1.4765318563077112</v>
      </c>
      <c r="CD99" s="1427">
        <v>1.4489816685637043</v>
      </c>
      <c r="CE99" s="1427">
        <v>1.4214314808196966</v>
      </c>
      <c r="CF99" s="1427">
        <v>1.393881293075689</v>
      </c>
      <c r="CG99" s="1427">
        <v>1.3663311053316813</v>
      </c>
      <c r="CH99" s="1427">
        <v>1.3387809175876737</v>
      </c>
      <c r="CI99" s="1427">
        <v>1.3112307298436665</v>
      </c>
      <c r="CJ99" s="1427">
        <v>1.2836805420996589</v>
      </c>
      <c r="CK99" s="1427">
        <v>1.2561303543556512</v>
      </c>
      <c r="CL99" s="1427">
        <v>1.230735466936983</v>
      </c>
      <c r="CM99" s="1427">
        <v>1.2064182296809838</v>
      </c>
      <c r="CN99" s="1427">
        <v>1.1842562927503235</v>
      </c>
      <c r="CO99" s="1427">
        <v>1.1620943558196637</v>
      </c>
      <c r="CP99" s="1428">
        <v>1.1399324188890034</v>
      </c>
    </row>
    <row r="100" spans="2:94" ht="30" customHeight="1" x14ac:dyDescent="0.3">
      <c r="B100" s="1729"/>
      <c r="C100" s="1446" t="s">
        <v>1346</v>
      </c>
      <c r="D100" s="1446" t="s">
        <v>1347</v>
      </c>
      <c r="E100" s="1260" t="s">
        <v>1320</v>
      </c>
      <c r="F100" s="1287"/>
      <c r="G100" s="1287"/>
      <c r="H100" s="1264" t="s">
        <v>1318</v>
      </c>
      <c r="I100" s="1261"/>
      <c r="J100" s="1259"/>
      <c r="K100" s="1259"/>
      <c r="L100" s="1259"/>
      <c r="M100" s="1259"/>
      <c r="N100" s="1426"/>
      <c r="O100" s="1427"/>
      <c r="P100" s="1427">
        <v>3.5000000000000003E-2</v>
      </c>
      <c r="Q100" s="1427">
        <v>3.5000000000000003E-2</v>
      </c>
      <c r="R100" s="1427">
        <v>3.5000000000000003E-2</v>
      </c>
      <c r="S100" s="1427">
        <v>3.5000000000000003E-2</v>
      </c>
      <c r="T100" s="1427">
        <v>3.5000000000000003E-2</v>
      </c>
      <c r="U100" s="1427">
        <v>3.5000000000000003E-2</v>
      </c>
      <c r="V100" s="1427">
        <v>3.5000000000000003E-2</v>
      </c>
      <c r="W100" s="1427">
        <v>3.5000000000000003E-2</v>
      </c>
      <c r="X100" s="1427">
        <v>3.5000000000000003E-2</v>
      </c>
      <c r="Y100" s="1427">
        <v>3.5000000000000003E-2</v>
      </c>
      <c r="Z100" s="1427">
        <v>3.5000000000000003E-2</v>
      </c>
      <c r="AA100" s="1427">
        <v>3.5000000000000003E-2</v>
      </c>
      <c r="AB100" s="1427">
        <v>3.5000000000000003E-2</v>
      </c>
      <c r="AC100" s="1427">
        <v>3.5000000000000003E-2</v>
      </c>
      <c r="AD100" s="1427">
        <v>3.5000000000000003E-2</v>
      </c>
      <c r="AE100" s="1427">
        <v>3.5000000000000003E-2</v>
      </c>
      <c r="AF100" s="1427">
        <v>3.5000000000000003E-2</v>
      </c>
      <c r="AG100" s="1427">
        <v>3.5000000000000003E-2</v>
      </c>
      <c r="AH100" s="1427">
        <v>3.5000000000000003E-2</v>
      </c>
      <c r="AI100" s="1427">
        <v>3.5000000000000003E-2</v>
      </c>
      <c r="AJ100" s="1427">
        <v>3.5000000000000003E-2</v>
      </c>
      <c r="AK100" s="1427">
        <v>3.5000000000000003E-2</v>
      </c>
      <c r="AL100" s="1427">
        <v>3.5000000000000003E-2</v>
      </c>
      <c r="AM100" s="1427">
        <v>3.5000000000000003E-2</v>
      </c>
      <c r="AN100" s="1427">
        <v>3.5000000000000003E-2</v>
      </c>
      <c r="AO100" s="1427">
        <v>3.5000000000000003E-2</v>
      </c>
      <c r="AP100" s="1427">
        <v>3.5000000000000003E-2</v>
      </c>
      <c r="AQ100" s="1427">
        <v>3.5000000000000003E-2</v>
      </c>
      <c r="AR100" s="1427">
        <v>3.5000000000000003E-2</v>
      </c>
      <c r="AS100" s="1427">
        <v>0.03</v>
      </c>
      <c r="AT100" s="1427">
        <v>0.03</v>
      </c>
      <c r="AU100" s="1427">
        <v>0.03</v>
      </c>
      <c r="AV100" s="1427">
        <v>0.03</v>
      </c>
      <c r="AW100" s="1427">
        <v>0.03</v>
      </c>
      <c r="AX100" s="1427">
        <v>0.03</v>
      </c>
      <c r="AY100" s="1427">
        <v>0.03</v>
      </c>
      <c r="AZ100" s="1427">
        <v>0.03</v>
      </c>
      <c r="BA100" s="1427">
        <v>0.03</v>
      </c>
      <c r="BB100" s="1427">
        <v>0.03</v>
      </c>
      <c r="BC100" s="1427">
        <v>0.03</v>
      </c>
      <c r="BD100" s="1427">
        <v>0.03</v>
      </c>
      <c r="BE100" s="1427">
        <v>0.03</v>
      </c>
      <c r="BF100" s="1427">
        <v>0.03</v>
      </c>
      <c r="BG100" s="1427">
        <v>0.03</v>
      </c>
      <c r="BH100" s="1427">
        <v>0.03</v>
      </c>
      <c r="BI100" s="1427">
        <v>0.03</v>
      </c>
      <c r="BJ100" s="1427">
        <v>0.03</v>
      </c>
      <c r="BK100" s="1427">
        <v>0.03</v>
      </c>
      <c r="BL100" s="1427">
        <v>0.03</v>
      </c>
      <c r="BM100" s="1427">
        <v>0.03</v>
      </c>
      <c r="BN100" s="1427">
        <v>0.03</v>
      </c>
      <c r="BO100" s="1427">
        <v>0.03</v>
      </c>
      <c r="BP100" s="1427">
        <v>0.03</v>
      </c>
      <c r="BQ100" s="1427">
        <v>0.03</v>
      </c>
      <c r="BR100" s="1427">
        <v>0.03</v>
      </c>
      <c r="BS100" s="1427">
        <v>0.03</v>
      </c>
      <c r="BT100" s="1427">
        <v>0.03</v>
      </c>
      <c r="BU100" s="1427">
        <v>0.03</v>
      </c>
      <c r="BV100" s="1427">
        <v>0.03</v>
      </c>
      <c r="BW100" s="1427">
        <v>0.03</v>
      </c>
      <c r="BX100" s="1427">
        <v>0.03</v>
      </c>
      <c r="BY100" s="1427">
        <v>0.03</v>
      </c>
      <c r="BZ100" s="1427">
        <v>0.03</v>
      </c>
      <c r="CA100" s="1427">
        <v>0.03</v>
      </c>
      <c r="CB100" s="1427">
        <v>0.03</v>
      </c>
      <c r="CC100" s="1427">
        <v>0.03</v>
      </c>
      <c r="CD100" s="1427">
        <v>0.03</v>
      </c>
      <c r="CE100" s="1427">
        <v>0.03</v>
      </c>
      <c r="CF100" s="1427">
        <v>0.03</v>
      </c>
      <c r="CG100" s="1427">
        <v>0.03</v>
      </c>
      <c r="CH100" s="1427">
        <v>0.03</v>
      </c>
      <c r="CI100" s="1427">
        <v>0.03</v>
      </c>
      <c r="CJ100" s="1427">
        <v>0.03</v>
      </c>
      <c r="CK100" s="1427">
        <v>0.03</v>
      </c>
      <c r="CL100" s="1427">
        <v>2.5000000000000001E-2</v>
      </c>
      <c r="CM100" s="1427">
        <v>2.5000000000000001E-2</v>
      </c>
      <c r="CN100" s="1427">
        <v>2.5000000000000001E-2</v>
      </c>
      <c r="CO100" s="1427">
        <v>2.5000000000000001E-2</v>
      </c>
      <c r="CP100" s="1428">
        <v>2.5000000000000001E-2</v>
      </c>
    </row>
    <row r="101" spans="2:94" ht="30" customHeight="1" x14ac:dyDescent="0.3">
      <c r="B101" s="1729"/>
      <c r="C101" s="1446" t="s">
        <v>1346</v>
      </c>
      <c r="D101" s="1446" t="s">
        <v>1347</v>
      </c>
      <c r="E101" s="1260" t="s">
        <v>1321</v>
      </c>
      <c r="F101" s="1287"/>
      <c r="G101" s="1287"/>
      <c r="H101" s="1264" t="s">
        <v>1318</v>
      </c>
      <c r="I101" s="1261"/>
      <c r="J101" s="1259"/>
      <c r="K101" s="1259"/>
      <c r="L101" s="1259" t="s">
        <v>2240</v>
      </c>
      <c r="M101" s="1259"/>
      <c r="N101" s="1426"/>
      <c r="O101" s="1427">
        <v>1</v>
      </c>
      <c r="P101" s="1427">
        <v>0.96618357487922713</v>
      </c>
      <c r="Q101" s="1427">
        <v>0.93351070036640305</v>
      </c>
      <c r="R101" s="1427">
        <v>0.90194270566802237</v>
      </c>
      <c r="S101" s="1427">
        <v>0.87144222769857238</v>
      </c>
      <c r="T101" s="1427">
        <v>0.84197316685852408</v>
      </c>
      <c r="U101" s="1427">
        <v>0.81350064430775282</v>
      </c>
      <c r="V101" s="1427">
        <v>0.78599096068381924</v>
      </c>
      <c r="W101" s="1427">
        <v>0.75941155621625056</v>
      </c>
      <c r="X101" s="1427">
        <v>0.73373097218961414</v>
      </c>
      <c r="Y101" s="1427">
        <v>0.70891881370977217</v>
      </c>
      <c r="Z101" s="1427">
        <v>0.68494571372924851</v>
      </c>
      <c r="AA101" s="1427">
        <v>0.66178329828912907</v>
      </c>
      <c r="AB101" s="1427">
        <v>0.63940415293635666</v>
      </c>
      <c r="AC101" s="1427">
        <v>0.61778179027667313</v>
      </c>
      <c r="AD101" s="1427">
        <v>0.59689061862480497</v>
      </c>
      <c r="AE101" s="1427">
        <v>0.57670591171478747</v>
      </c>
      <c r="AF101" s="1427">
        <v>0.55720377943457733</v>
      </c>
      <c r="AG101" s="1427">
        <v>0.53836113955031628</v>
      </c>
      <c r="AH101" s="1427">
        <v>0.520155690386779</v>
      </c>
      <c r="AI101" s="1427">
        <v>0.50256588443167061</v>
      </c>
      <c r="AJ101" s="1427">
        <v>0.48557090283253201</v>
      </c>
      <c r="AK101" s="1427">
        <v>0.46915063075606961</v>
      </c>
      <c r="AL101" s="1427">
        <v>0.45328563358074364</v>
      </c>
      <c r="AM101" s="1427">
        <v>0.43795713389443836</v>
      </c>
      <c r="AN101" s="1427">
        <v>0.42314698926998878</v>
      </c>
      <c r="AO101" s="1427">
        <v>0.40883767079225974</v>
      </c>
      <c r="AP101" s="1427">
        <v>0.39501224231136212</v>
      </c>
      <c r="AQ101" s="1427">
        <v>0.38165434039745133</v>
      </c>
      <c r="AR101" s="1427">
        <v>0.36874815497338298</v>
      </c>
      <c r="AS101" s="1427">
        <v>0.35800791744988636</v>
      </c>
      <c r="AT101" s="1427">
        <v>0.34758050237853044</v>
      </c>
      <c r="AU101" s="1427">
        <v>0.33745679842575771</v>
      </c>
      <c r="AV101" s="1427">
        <v>0.32762795963665797</v>
      </c>
      <c r="AW101" s="1427">
        <v>0.31808539770549316</v>
      </c>
      <c r="AX101" s="1427">
        <v>0.30882077447135259</v>
      </c>
      <c r="AY101" s="1427">
        <v>0.29982599463238113</v>
      </c>
      <c r="AZ101" s="1427">
        <v>0.29109319867221467</v>
      </c>
      <c r="BA101" s="1427">
        <v>0.2826147559924414</v>
      </c>
      <c r="BB101" s="1427">
        <v>0.27438325824508875</v>
      </c>
      <c r="BC101" s="1427">
        <v>0.26639151285930945</v>
      </c>
      <c r="BD101" s="1427">
        <v>0.25863253675661113</v>
      </c>
      <c r="BE101" s="1427">
        <v>0.25109955024913699</v>
      </c>
      <c r="BF101" s="1427">
        <v>0.24378597111566697</v>
      </c>
      <c r="BG101" s="1427">
        <v>0.23668540885016209</v>
      </c>
      <c r="BH101" s="1427">
        <v>0.22979165907782728</v>
      </c>
      <c r="BI101" s="1427">
        <v>0.22309869813381289</v>
      </c>
      <c r="BJ101" s="1427">
        <v>0.21660067779981834</v>
      </c>
      <c r="BK101" s="1427">
        <v>0.21029192019399839</v>
      </c>
      <c r="BL101" s="1427">
        <v>0.20416691280970717</v>
      </c>
      <c r="BM101" s="1427">
        <v>0.19822030369874483</v>
      </c>
      <c r="BN101" s="1427">
        <v>0.19244689679489788</v>
      </c>
      <c r="BO101" s="1427">
        <v>0.18684164737368725</v>
      </c>
      <c r="BP101" s="1427">
        <v>0.18139965764435656</v>
      </c>
      <c r="BQ101" s="1427">
        <v>0.17611617247024908</v>
      </c>
      <c r="BR101" s="1427">
        <v>0.17098657521383406</v>
      </c>
      <c r="BS101" s="1427">
        <v>0.1660063837027515</v>
      </c>
      <c r="BT101" s="1427">
        <v>0.16117124631335097</v>
      </c>
      <c r="BU101" s="1427">
        <v>0.15647693816830191</v>
      </c>
      <c r="BV101" s="1427">
        <v>0.1519193574449533</v>
      </c>
      <c r="BW101" s="1427">
        <v>0.1474945217912168</v>
      </c>
      <c r="BX101" s="1427">
        <v>0.14319856484584156</v>
      </c>
      <c r="BY101" s="1427">
        <v>0.13902773286004036</v>
      </c>
      <c r="BZ101" s="1427">
        <v>0.13497838141751492</v>
      </c>
      <c r="CA101" s="1427">
        <v>0.13104697225001449</v>
      </c>
      <c r="CB101" s="1427">
        <v>0.12723007014564514</v>
      </c>
      <c r="CC101" s="1427">
        <v>0.12352433994722828</v>
      </c>
      <c r="CD101" s="1427">
        <v>0.11992654363808571</v>
      </c>
      <c r="CE101" s="1427">
        <v>0.11643353751270456</v>
      </c>
      <c r="CF101" s="1427">
        <v>0.11304226942981026</v>
      </c>
      <c r="CG101" s="1427">
        <v>0.10974977614544684</v>
      </c>
      <c r="CH101" s="1427">
        <v>0.10655318072373479</v>
      </c>
      <c r="CI101" s="1427">
        <v>0.10344969002304348</v>
      </c>
      <c r="CJ101" s="1427">
        <v>0.10043659225538201</v>
      </c>
      <c r="CK101" s="1427">
        <v>9.7511254616875737E-2</v>
      </c>
      <c r="CL101" s="1427">
        <v>9.5132931333537313E-2</v>
      </c>
      <c r="CM101" s="1427">
        <v>9.2812615935158368E-2</v>
      </c>
      <c r="CN101" s="1427">
        <v>9.0548893595276458E-2</v>
      </c>
      <c r="CO101" s="1427">
        <v>8.834038399539168E-2</v>
      </c>
      <c r="CP101" s="1428">
        <v>8.6185740483308959E-2</v>
      </c>
    </row>
    <row r="102" spans="2:94" ht="30" customHeight="1" x14ac:dyDescent="0.3">
      <c r="B102" s="1729"/>
      <c r="C102" s="1446" t="s">
        <v>1346</v>
      </c>
      <c r="D102" s="1446" t="s">
        <v>1347</v>
      </c>
      <c r="E102" s="1260" t="s">
        <v>1322</v>
      </c>
      <c r="F102" s="1260" t="s">
        <v>1330</v>
      </c>
      <c r="G102" s="1260"/>
      <c r="H102" s="1260" t="s">
        <v>1324</v>
      </c>
      <c r="I102" s="1261"/>
      <c r="J102" s="1259"/>
      <c r="K102" s="1259"/>
      <c r="L102" s="1259"/>
      <c r="M102" s="1259"/>
      <c r="N102" s="1426"/>
      <c r="O102" s="1427"/>
      <c r="P102" s="1427"/>
      <c r="Q102" s="1427"/>
      <c r="R102" s="1427"/>
      <c r="S102" s="1427"/>
      <c r="T102" s="1427"/>
      <c r="U102" s="1427"/>
      <c r="V102" s="1427"/>
      <c r="W102" s="1427"/>
      <c r="X102" s="1427"/>
      <c r="Y102" s="1427"/>
      <c r="Z102" s="1427"/>
      <c r="AA102" s="1427"/>
      <c r="AB102" s="1427"/>
      <c r="AC102" s="1427"/>
      <c r="AD102" s="1427"/>
      <c r="AE102" s="1427"/>
      <c r="AF102" s="1427"/>
      <c r="AG102" s="1427"/>
      <c r="AH102" s="1427"/>
      <c r="AI102" s="1427"/>
      <c r="AJ102" s="1427"/>
      <c r="AK102" s="1427"/>
      <c r="AL102" s="1427"/>
      <c r="AM102" s="1427"/>
      <c r="AN102" s="1427"/>
      <c r="AO102" s="1427"/>
      <c r="AP102" s="1427"/>
      <c r="AQ102" s="1427"/>
      <c r="AR102" s="1427"/>
      <c r="AS102" s="1427"/>
      <c r="AT102" s="1427"/>
      <c r="AU102" s="1427"/>
      <c r="AV102" s="1427"/>
      <c r="AW102" s="1427"/>
      <c r="AX102" s="1427"/>
      <c r="AY102" s="1427"/>
      <c r="AZ102" s="1427"/>
      <c r="BA102" s="1427"/>
      <c r="BB102" s="1427"/>
      <c r="BC102" s="1427"/>
      <c r="BD102" s="1427"/>
      <c r="BE102" s="1427"/>
      <c r="BF102" s="1427"/>
      <c r="BG102" s="1427"/>
      <c r="BH102" s="1427"/>
      <c r="BI102" s="1427"/>
      <c r="BJ102" s="1427"/>
      <c r="BK102" s="1427"/>
      <c r="BL102" s="1427"/>
      <c r="BM102" s="1427"/>
      <c r="BN102" s="1427"/>
      <c r="BO102" s="1427"/>
      <c r="BP102" s="1427"/>
      <c r="BQ102" s="1427"/>
      <c r="BR102" s="1427"/>
      <c r="BS102" s="1427"/>
      <c r="BT102" s="1427"/>
      <c r="BU102" s="1427"/>
      <c r="BV102" s="1427"/>
      <c r="BW102" s="1427"/>
      <c r="BX102" s="1427"/>
      <c r="BY102" s="1427"/>
      <c r="BZ102" s="1427"/>
      <c r="CA102" s="1427"/>
      <c r="CB102" s="1427"/>
      <c r="CC102" s="1427"/>
      <c r="CD102" s="1427"/>
      <c r="CE102" s="1427"/>
      <c r="CF102" s="1427"/>
      <c r="CG102" s="1427"/>
      <c r="CH102" s="1427"/>
      <c r="CI102" s="1427"/>
      <c r="CJ102" s="1427"/>
      <c r="CK102" s="1427"/>
      <c r="CL102" s="1427"/>
      <c r="CM102" s="1427"/>
      <c r="CN102" s="1427"/>
      <c r="CO102" s="1427"/>
      <c r="CP102" s="1428"/>
    </row>
    <row r="103" spans="2:94" ht="30" customHeight="1" x14ac:dyDescent="0.3">
      <c r="B103" s="1729"/>
      <c r="C103" s="1446" t="s">
        <v>1346</v>
      </c>
      <c r="D103" s="1446" t="s">
        <v>1347</v>
      </c>
      <c r="E103" s="1264" t="s">
        <v>1322</v>
      </c>
      <c r="F103" s="1260" t="s">
        <v>1325</v>
      </c>
      <c r="G103" s="1260"/>
      <c r="H103" s="1285" t="s">
        <v>1324</v>
      </c>
      <c r="I103" s="1284"/>
      <c r="J103" s="1259"/>
      <c r="K103" s="1259"/>
      <c r="L103" s="1259"/>
      <c r="M103" s="1259"/>
      <c r="N103" s="1426"/>
      <c r="O103" s="1427"/>
      <c r="P103" s="1427"/>
      <c r="Q103" s="1427"/>
      <c r="R103" s="1427"/>
      <c r="S103" s="1427"/>
      <c r="T103" s="1427"/>
      <c r="U103" s="1427"/>
      <c r="V103" s="1427"/>
      <c r="W103" s="1427"/>
      <c r="X103" s="1427"/>
      <c r="Y103" s="1427"/>
      <c r="Z103" s="1427"/>
      <c r="AA103" s="1427"/>
      <c r="AB103" s="1427"/>
      <c r="AC103" s="1427"/>
      <c r="AD103" s="1427"/>
      <c r="AE103" s="1427"/>
      <c r="AF103" s="1427"/>
      <c r="AG103" s="1427"/>
      <c r="AH103" s="1427"/>
      <c r="AI103" s="1427"/>
      <c r="AJ103" s="1427"/>
      <c r="AK103" s="1427"/>
      <c r="AL103" s="1427"/>
      <c r="AM103" s="1427"/>
      <c r="AN103" s="1427"/>
      <c r="AO103" s="1427"/>
      <c r="AP103" s="1427"/>
      <c r="AQ103" s="1427"/>
      <c r="AR103" s="1427"/>
      <c r="AS103" s="1427"/>
      <c r="AT103" s="1427"/>
      <c r="AU103" s="1427"/>
      <c r="AV103" s="1427"/>
      <c r="AW103" s="1427"/>
      <c r="AX103" s="1427"/>
      <c r="AY103" s="1427"/>
      <c r="AZ103" s="1427"/>
      <c r="BA103" s="1427"/>
      <c r="BB103" s="1427"/>
      <c r="BC103" s="1427"/>
      <c r="BD103" s="1427"/>
      <c r="BE103" s="1427"/>
      <c r="BF103" s="1427"/>
      <c r="BG103" s="1427"/>
      <c r="BH103" s="1427"/>
      <c r="BI103" s="1427"/>
      <c r="BJ103" s="1427"/>
      <c r="BK103" s="1427"/>
      <c r="BL103" s="1427"/>
      <c r="BM103" s="1427"/>
      <c r="BN103" s="1427"/>
      <c r="BO103" s="1427"/>
      <c r="BP103" s="1427"/>
      <c r="BQ103" s="1427"/>
      <c r="BR103" s="1427"/>
      <c r="BS103" s="1427"/>
      <c r="BT103" s="1427"/>
      <c r="BU103" s="1427"/>
      <c r="BV103" s="1427"/>
      <c r="BW103" s="1427"/>
      <c r="BX103" s="1427"/>
      <c r="BY103" s="1427"/>
      <c r="BZ103" s="1427"/>
      <c r="CA103" s="1427"/>
      <c r="CB103" s="1427"/>
      <c r="CC103" s="1427"/>
      <c r="CD103" s="1427"/>
      <c r="CE103" s="1427"/>
      <c r="CF103" s="1427"/>
      <c r="CG103" s="1427"/>
      <c r="CH103" s="1427"/>
      <c r="CI103" s="1427"/>
      <c r="CJ103" s="1427"/>
      <c r="CK103" s="1427"/>
      <c r="CL103" s="1427"/>
      <c r="CM103" s="1427"/>
      <c r="CN103" s="1427"/>
      <c r="CO103" s="1427"/>
      <c r="CP103" s="1428"/>
    </row>
    <row r="104" spans="2:94" s="1278" customFormat="1" ht="30" customHeight="1" thickBot="1" x14ac:dyDescent="0.35">
      <c r="B104" s="1729"/>
      <c r="C104" s="1446" t="s">
        <v>1346</v>
      </c>
      <c r="D104" s="1446" t="s">
        <v>1347</v>
      </c>
      <c r="E104" s="1280" t="s">
        <v>1326</v>
      </c>
      <c r="F104" s="1279"/>
      <c r="G104" s="1279"/>
      <c r="H104" s="1279" t="s">
        <v>163</v>
      </c>
      <c r="I104" s="1283"/>
      <c r="J104" s="1282"/>
      <c r="K104" s="1282"/>
      <c r="L104" s="1282"/>
      <c r="M104" s="1282"/>
      <c r="N104" s="1434" t="str">
        <f>IF((N98+N99)*N101&lt;&gt;0,(N98+N99)*N101,"")</f>
        <v/>
      </c>
      <c r="O104" s="1435">
        <v>4.7497830599447219E-2</v>
      </c>
      <c r="P104" s="1435">
        <v>0.11419668864802827</v>
      </c>
      <c r="Q104" s="1435">
        <v>0.21989837791272182</v>
      </c>
      <c r="R104" s="1435">
        <v>0.31707813643631361</v>
      </c>
      <c r="S104" s="1435">
        <v>0.40623346614755113</v>
      </c>
      <c r="T104" s="1435">
        <v>0.48783654597405962</v>
      </c>
      <c r="U104" s="1435">
        <v>0.65893421312605838</v>
      </c>
      <c r="V104" s="1435">
        <v>0.90906893553250601</v>
      </c>
      <c r="W104" s="1435">
        <v>1.3187465267577165</v>
      </c>
      <c r="X104" s="1435">
        <v>1.6946232820289644</v>
      </c>
      <c r="Y104" s="1435">
        <v>2.6126266787714383</v>
      </c>
      <c r="Z104" s="1435">
        <v>2.5054066015512877</v>
      </c>
      <c r="AA104" s="1435">
        <v>2.4024504529298025</v>
      </c>
      <c r="AB104" s="1435">
        <v>2.3035924628471172</v>
      </c>
      <c r="AC104" s="1435">
        <v>2.2086731967268594</v>
      </c>
      <c r="AD104" s="1435">
        <v>2.1175393165557947</v>
      </c>
      <c r="AE104" s="1435">
        <v>2.0300433508773938</v>
      </c>
      <c r="AF104" s="1435">
        <v>1.9460434733696568</v>
      </c>
      <c r="AG104" s="1435">
        <v>1.8654032896896506</v>
      </c>
      <c r="AH104" s="1435">
        <v>1.7879916322788576</v>
      </c>
      <c r="AI104" s="1435">
        <v>1.7136823628346847</v>
      </c>
      <c r="AJ104" s="1435">
        <v>1.6423541821642882</v>
      </c>
      <c r="AK104" s="1435">
        <v>1.5738904471473238</v>
      </c>
      <c r="AL104" s="1435">
        <v>1.5081789945442574</v>
      </c>
      <c r="AM104" s="1435">
        <v>1.4451119713965683</v>
      </c>
      <c r="AN104" s="1435">
        <v>1.3854976805099493</v>
      </c>
      <c r="AO104" s="1435">
        <v>1.3287032992878449</v>
      </c>
      <c r="AP104" s="1435">
        <v>1.2750170671440066</v>
      </c>
      <c r="AQ104" s="1435">
        <v>1.223442348433101</v>
      </c>
      <c r="AR104" s="1435">
        <v>1.1738977284067422</v>
      </c>
      <c r="AS104" s="1435">
        <v>1.1317723834424793</v>
      </c>
      <c r="AT104" s="1435">
        <v>1.0929779326939544</v>
      </c>
      <c r="AU104" s="1435">
        <v>1.0573015308988696</v>
      </c>
      <c r="AV104" s="1435">
        <v>1.0263068360473724</v>
      </c>
      <c r="AW104" s="1435">
        <v>0.99622071011284474</v>
      </c>
      <c r="AX104" s="1435">
        <v>0.95869650271680207</v>
      </c>
      <c r="AY104" s="1435">
        <v>0.92251304127040001</v>
      </c>
      <c r="AZ104" s="1435">
        <v>0.88762405721578064</v>
      </c>
      <c r="BA104" s="1435">
        <v>0.8539848398474017</v>
      </c>
      <c r="BB104" s="1435">
        <v>0.82155218481465431</v>
      </c>
      <c r="BC104" s="1435">
        <v>0.79306421927669313</v>
      </c>
      <c r="BD104" s="1435">
        <v>0.76688824819202106</v>
      </c>
      <c r="BE104" s="1435">
        <v>0.74418460455539093</v>
      </c>
      <c r="BF104" s="1435">
        <v>0.72215292411356813</v>
      </c>
      <c r="BG104" s="1435">
        <v>0.70077332370492917</v>
      </c>
      <c r="BH104" s="1435">
        <v>0.68002650835949308</v>
      </c>
      <c r="BI104" s="1435">
        <v>0.66571400771850575</v>
      </c>
      <c r="BJ104" s="1435">
        <v>0.65730908565431623</v>
      </c>
      <c r="BK104" s="1435">
        <v>0.65980131620371607</v>
      </c>
      <c r="BL104" s="1435">
        <v>0.66159074910485305</v>
      </c>
      <c r="BM104" s="1435">
        <v>0.63728733335766807</v>
      </c>
      <c r="BN104" s="1435">
        <v>0.61404578951139921</v>
      </c>
      <c r="BO104" s="1435">
        <v>0.59202018783126009</v>
      </c>
      <c r="BP104" s="1435">
        <v>0.57075671356489432</v>
      </c>
      <c r="BQ104" s="1435">
        <v>0.55022965605846186</v>
      </c>
      <c r="BR104" s="1435">
        <v>0.53041415582574925</v>
      </c>
      <c r="BS104" s="1435">
        <v>0.51218066070276524</v>
      </c>
      <c r="BT104" s="1435">
        <v>0.49542777233068097</v>
      </c>
      <c r="BU104" s="1435">
        <v>0.48090255269132648</v>
      </c>
      <c r="BV104" s="1435">
        <v>0.46680317297902874</v>
      </c>
      <c r="BW104" s="1435">
        <v>0.44914346234216096</v>
      </c>
      <c r="BX104" s="1435">
        <v>0.43211646662816738</v>
      </c>
      <c r="BY104" s="1435">
        <v>0.41570031003097735</v>
      </c>
      <c r="BZ104" s="1435">
        <v>0.39987385430827233</v>
      </c>
      <c r="CA104" s="1435">
        <v>0.38461667437464747</v>
      </c>
      <c r="CB104" s="1435">
        <v>0.36990903469082986</v>
      </c>
      <c r="CC104" s="1435">
        <v>0.35573186642328403</v>
      </c>
      <c r="CD104" s="1435">
        <v>0.34206674534935938</v>
      </c>
      <c r="CE104" s="1435">
        <v>0.32889587048392516</v>
      </c>
      <c r="CF104" s="1435">
        <v>0.31620204340421015</v>
      </c>
      <c r="CG104" s="1435">
        <v>0.30396864825030412</v>
      </c>
      <c r="CH104" s="1435">
        <v>0.29217963237950451</v>
      </c>
      <c r="CI104" s="1435">
        <v>0.2808194876533841</v>
      </c>
      <c r="CJ104" s="1435">
        <v>0.26987323233713517</v>
      </c>
      <c r="CK104" s="1435">
        <v>0.25932639359139825</v>
      </c>
      <c r="CL104" s="1435">
        <v>0.25058546952917782</v>
      </c>
      <c r="CM104" s="1435">
        <v>0.24221668240366478</v>
      </c>
      <c r="CN104" s="1435">
        <v>0.23430221954728361</v>
      </c>
      <c r="CO104" s="1435">
        <v>0.22662973722143168</v>
      </c>
      <c r="CP104" s="1436">
        <v>0.21919213968509343</v>
      </c>
    </row>
    <row r="105" spans="2:94" s="1278" customFormat="1" ht="30" customHeight="1" thickBot="1" x14ac:dyDescent="0.35">
      <c r="B105" s="1730"/>
      <c r="C105" s="1442" t="s">
        <v>1346</v>
      </c>
      <c r="D105" s="1438" t="s">
        <v>1347</v>
      </c>
      <c r="E105" s="1280" t="s">
        <v>1327</v>
      </c>
      <c r="F105" s="1279"/>
      <c r="G105" s="1279"/>
      <c r="H105" s="1279" t="s">
        <v>163</v>
      </c>
      <c r="I105" s="1731">
        <f>IF(SUM($N104:$CP104)&lt;&gt;0,SUM($N104:$CP104),"")</f>
        <v>70.847533512061503</v>
      </c>
      <c r="J105" s="1732"/>
      <c r="K105" s="1732"/>
      <c r="L105" s="1732"/>
      <c r="M105" s="1733"/>
    </row>
    <row r="106" spans="2:94" ht="30" customHeight="1" x14ac:dyDescent="0.3">
      <c r="B106" s="1728" t="s">
        <v>1313</v>
      </c>
      <c r="C106" s="1446" t="s">
        <v>1348</v>
      </c>
      <c r="D106" s="1446" t="s">
        <v>1349</v>
      </c>
      <c r="E106" s="1269" t="s">
        <v>1316</v>
      </c>
      <c r="F106" s="1288"/>
      <c r="G106" s="1288"/>
      <c r="H106" s="1270" t="s">
        <v>163</v>
      </c>
      <c r="I106" s="1266"/>
      <c r="J106" s="1265"/>
      <c r="K106" s="1265"/>
      <c r="L106" s="1265"/>
      <c r="M106" s="1265"/>
      <c r="N106" s="1423"/>
      <c r="O106" s="1424">
        <v>1.1993954091996051</v>
      </c>
      <c r="P106" s="1424">
        <v>1.7990931137994075</v>
      </c>
      <c r="Q106" s="1424">
        <v>2.9984885229990126</v>
      </c>
      <c r="R106" s="1424">
        <v>2.9984885229990126</v>
      </c>
      <c r="S106" s="1424">
        <v>2.9984885229990126</v>
      </c>
      <c r="T106" s="1424">
        <v>2.9984885229990126</v>
      </c>
      <c r="U106" s="1424">
        <v>5.9969770459980252</v>
      </c>
      <c r="V106" s="1424">
        <v>8.9954655689970391</v>
      </c>
      <c r="W106" s="1424">
        <v>14.992442614995065</v>
      </c>
      <c r="X106" s="1424">
        <v>14.992442614995065</v>
      </c>
      <c r="Y106" s="1424">
        <v>0</v>
      </c>
      <c r="Z106" s="1424">
        <v>0</v>
      </c>
      <c r="AA106" s="1424">
        <v>0</v>
      </c>
      <c r="AB106" s="1424">
        <v>0</v>
      </c>
      <c r="AC106" s="1424">
        <v>0</v>
      </c>
      <c r="AD106" s="1424">
        <v>0</v>
      </c>
      <c r="AE106" s="1424">
        <v>0</v>
      </c>
      <c r="AF106" s="1424">
        <v>0</v>
      </c>
      <c r="AG106" s="1424">
        <v>0</v>
      </c>
      <c r="AH106" s="1424">
        <v>0</v>
      </c>
      <c r="AI106" s="1424">
        <v>0</v>
      </c>
      <c r="AJ106" s="1424">
        <v>0</v>
      </c>
      <c r="AK106" s="1424">
        <v>0</v>
      </c>
      <c r="AL106" s="1424">
        <v>0</v>
      </c>
      <c r="AM106" s="1424">
        <v>0</v>
      </c>
      <c r="AN106" s="1424">
        <v>7.1871621153665299E-2</v>
      </c>
      <c r="AO106" s="1424">
        <v>0.10780743173049795</v>
      </c>
      <c r="AP106" s="1424">
        <v>0.17967905288416325</v>
      </c>
      <c r="AQ106" s="1424">
        <v>0.17967905288416325</v>
      </c>
      <c r="AR106" s="1424">
        <v>0.17967905288416325</v>
      </c>
      <c r="AS106" s="1424">
        <v>0.17967905288416325</v>
      </c>
      <c r="AT106" s="1424">
        <v>0.3593581057683265</v>
      </c>
      <c r="AU106" s="1424">
        <v>0.53903715865248969</v>
      </c>
      <c r="AV106" s="1424">
        <v>0.8983952644208163</v>
      </c>
      <c r="AW106" s="1424">
        <v>0.8983952644208163</v>
      </c>
      <c r="AX106" s="1424">
        <v>0</v>
      </c>
      <c r="AY106" s="1424">
        <v>0</v>
      </c>
      <c r="AZ106" s="1424">
        <v>0</v>
      </c>
      <c r="BA106" s="1424">
        <v>0</v>
      </c>
      <c r="BB106" s="1424">
        <v>0</v>
      </c>
      <c r="BC106" s="1424">
        <v>0.35545953601571922</v>
      </c>
      <c r="BD106" s="1424">
        <v>0.53318930402357889</v>
      </c>
      <c r="BE106" s="1424">
        <v>0.88864884003929812</v>
      </c>
      <c r="BF106" s="1424">
        <v>0.88864884003929812</v>
      </c>
      <c r="BG106" s="1424">
        <v>0.88864884003929812</v>
      </c>
      <c r="BH106" s="1424">
        <v>0.88864884003929812</v>
      </c>
      <c r="BI106" s="1424">
        <v>1.7772976800785962</v>
      </c>
      <c r="BJ106" s="1424">
        <v>2.665946520117894</v>
      </c>
      <c r="BK106" s="1424">
        <v>4.4432442001964914</v>
      </c>
      <c r="BL106" s="1424">
        <v>4.4432442001964914</v>
      </c>
      <c r="BM106" s="1424">
        <v>7.1871621153665299E-2</v>
      </c>
      <c r="BN106" s="1424">
        <v>0.10780743173049795</v>
      </c>
      <c r="BO106" s="1424">
        <v>0.17967905288416325</v>
      </c>
      <c r="BP106" s="1424">
        <v>0.17967905288416325</v>
      </c>
      <c r="BQ106" s="1424">
        <v>0.17967905288416325</v>
      </c>
      <c r="BR106" s="1424">
        <v>0.17967905288416325</v>
      </c>
      <c r="BS106" s="1424">
        <v>0.3593581057683265</v>
      </c>
      <c r="BT106" s="1424">
        <v>0.53903715865248969</v>
      </c>
      <c r="BU106" s="1424">
        <v>0.8983952644208163</v>
      </c>
      <c r="BV106" s="1424">
        <v>0.8983952644208163</v>
      </c>
      <c r="BW106" s="1424">
        <v>0</v>
      </c>
      <c r="BX106" s="1424">
        <v>0</v>
      </c>
      <c r="BY106" s="1424">
        <v>0</v>
      </c>
      <c r="BZ106" s="1424">
        <v>0</v>
      </c>
      <c r="CA106" s="1424">
        <v>0</v>
      </c>
      <c r="CB106" s="1424">
        <v>0</v>
      </c>
      <c r="CC106" s="1424">
        <v>0</v>
      </c>
      <c r="CD106" s="1424">
        <v>0</v>
      </c>
      <c r="CE106" s="1424">
        <v>0</v>
      </c>
      <c r="CF106" s="1424">
        <v>0</v>
      </c>
      <c r="CG106" s="1424">
        <v>0</v>
      </c>
      <c r="CH106" s="1424">
        <v>0</v>
      </c>
      <c r="CI106" s="1424">
        <v>0</v>
      </c>
      <c r="CJ106" s="1424">
        <v>0</v>
      </c>
      <c r="CK106" s="1424">
        <v>0</v>
      </c>
      <c r="CL106" s="1424">
        <v>7.1871621153665299E-2</v>
      </c>
      <c r="CM106" s="1424">
        <v>0.10780743173049795</v>
      </c>
      <c r="CN106" s="1424">
        <v>0.17967905288416325</v>
      </c>
      <c r="CO106" s="1424">
        <v>0.17967905288416325</v>
      </c>
      <c r="CP106" s="1425">
        <v>0.17967905288416325</v>
      </c>
    </row>
    <row r="107" spans="2:94" ht="30" customHeight="1" x14ac:dyDescent="0.3">
      <c r="B107" s="1729"/>
      <c r="C107" s="1446" t="s">
        <v>1348</v>
      </c>
      <c r="D107" s="1446" t="s">
        <v>1349</v>
      </c>
      <c r="E107" s="1260" t="s">
        <v>1317</v>
      </c>
      <c r="F107" s="1287"/>
      <c r="G107" s="1287"/>
      <c r="H107" s="1264" t="s">
        <v>1318</v>
      </c>
      <c r="I107" s="1261"/>
      <c r="J107" s="1259"/>
      <c r="K107" s="1259"/>
      <c r="L107" s="1259"/>
      <c r="M107" s="1259"/>
      <c r="N107" s="1426"/>
      <c r="O107" s="1427">
        <v>0</v>
      </c>
      <c r="P107" s="1427">
        <v>0</v>
      </c>
      <c r="Q107" s="1427">
        <v>0</v>
      </c>
      <c r="R107" s="1427">
        <v>0</v>
      </c>
      <c r="S107" s="1427">
        <v>0</v>
      </c>
      <c r="T107" s="1427">
        <v>0</v>
      </c>
      <c r="U107" s="1427">
        <v>0</v>
      </c>
      <c r="V107" s="1427">
        <v>0</v>
      </c>
      <c r="W107" s="1427">
        <v>0</v>
      </c>
      <c r="X107" s="1427">
        <v>0</v>
      </c>
      <c r="Y107" s="1427">
        <v>1.3591701565909315</v>
      </c>
      <c r="Z107" s="1427">
        <v>1.3591701565909315</v>
      </c>
      <c r="AA107" s="1427">
        <v>1.3591701565909315</v>
      </c>
      <c r="AB107" s="1427">
        <v>1.3591701565909315</v>
      </c>
      <c r="AC107" s="1427">
        <v>1.3591701565909315</v>
      </c>
      <c r="AD107" s="1427">
        <v>1.3591701565909315</v>
      </c>
      <c r="AE107" s="1427">
        <v>1.3591701565909315</v>
      </c>
      <c r="AF107" s="1427">
        <v>1.3591701565909315</v>
      </c>
      <c r="AG107" s="1427">
        <v>1.3591701565909315</v>
      </c>
      <c r="AH107" s="1427">
        <v>1.3591701565909315</v>
      </c>
      <c r="AI107" s="1427">
        <v>1.3591701565909315</v>
      </c>
      <c r="AJ107" s="1427">
        <v>1.3591701565909315</v>
      </c>
      <c r="AK107" s="1427">
        <v>1.3591701565909315</v>
      </c>
      <c r="AL107" s="1427">
        <v>1.3591701565909315</v>
      </c>
      <c r="AM107" s="1427">
        <v>1.3591701565909315</v>
      </c>
      <c r="AN107" s="1427">
        <v>1.3591701565909315</v>
      </c>
      <c r="AO107" s="1427">
        <v>1.3591701565909315</v>
      </c>
      <c r="AP107" s="1427">
        <v>1.3591701565909315</v>
      </c>
      <c r="AQ107" s="1427">
        <v>1.3591701565909315</v>
      </c>
      <c r="AR107" s="1427">
        <v>1.3591701565909315</v>
      </c>
      <c r="AS107" s="1427">
        <v>1.3591701565909315</v>
      </c>
      <c r="AT107" s="1427">
        <v>1.3591701565909315</v>
      </c>
      <c r="AU107" s="1427">
        <v>1.3591701565909315</v>
      </c>
      <c r="AV107" s="1427">
        <v>1.3591701565909315</v>
      </c>
      <c r="AW107" s="1427">
        <v>1.3591701565909315</v>
      </c>
      <c r="AX107" s="1427">
        <v>1.3591701565909315</v>
      </c>
      <c r="AY107" s="1427">
        <v>1.3591701565909315</v>
      </c>
      <c r="AZ107" s="1427">
        <v>1.3591701565909315</v>
      </c>
      <c r="BA107" s="1427">
        <v>1.3591701565909315</v>
      </c>
      <c r="BB107" s="1427">
        <v>1.3591701565909315</v>
      </c>
      <c r="BC107" s="1427">
        <v>1.3591701565909315</v>
      </c>
      <c r="BD107" s="1427">
        <v>1.3591701565909315</v>
      </c>
      <c r="BE107" s="1427">
        <v>1.3591701565909315</v>
      </c>
      <c r="BF107" s="1427">
        <v>1.3591701565909315</v>
      </c>
      <c r="BG107" s="1427">
        <v>1.3591701565909315</v>
      </c>
      <c r="BH107" s="1427">
        <v>1.3591701565909315</v>
      </c>
      <c r="BI107" s="1427">
        <v>1.3591701565909315</v>
      </c>
      <c r="BJ107" s="1427">
        <v>1.3591701565909315</v>
      </c>
      <c r="BK107" s="1427">
        <v>1.3591701565909315</v>
      </c>
      <c r="BL107" s="1427">
        <v>1.3591701565909315</v>
      </c>
      <c r="BM107" s="1427">
        <v>1.3591701565909315</v>
      </c>
      <c r="BN107" s="1427">
        <v>1.3591701565909315</v>
      </c>
      <c r="BO107" s="1427">
        <v>1.3591701565909315</v>
      </c>
      <c r="BP107" s="1427">
        <v>1.3591701565909315</v>
      </c>
      <c r="BQ107" s="1427">
        <v>1.3591701565909315</v>
      </c>
      <c r="BR107" s="1427">
        <v>1.3591701565909315</v>
      </c>
      <c r="BS107" s="1427">
        <v>1.3591701565909315</v>
      </c>
      <c r="BT107" s="1427">
        <v>1.3591701565909315</v>
      </c>
      <c r="BU107" s="1427">
        <v>1.3591701565909315</v>
      </c>
      <c r="BV107" s="1427">
        <v>1.3591701565909315</v>
      </c>
      <c r="BW107" s="1427">
        <v>1.3591701565909315</v>
      </c>
      <c r="BX107" s="1427">
        <v>1.3591701565909315</v>
      </c>
      <c r="BY107" s="1427">
        <v>1.3591701565909315</v>
      </c>
      <c r="BZ107" s="1427">
        <v>1.3591701565909315</v>
      </c>
      <c r="CA107" s="1427">
        <v>1.3591701565909315</v>
      </c>
      <c r="CB107" s="1427">
        <v>1.3591701565909315</v>
      </c>
      <c r="CC107" s="1427">
        <v>1.3591701565909315</v>
      </c>
      <c r="CD107" s="1427">
        <v>1.3591701565909315</v>
      </c>
      <c r="CE107" s="1427">
        <v>1.3591701565909315</v>
      </c>
      <c r="CF107" s="1427">
        <v>1.3591701565909315</v>
      </c>
      <c r="CG107" s="1427">
        <v>1.3591701565909315</v>
      </c>
      <c r="CH107" s="1427">
        <v>1.3591701565909315</v>
      </c>
      <c r="CI107" s="1427">
        <v>1.3591701565909315</v>
      </c>
      <c r="CJ107" s="1427">
        <v>1.3591701565909315</v>
      </c>
      <c r="CK107" s="1427">
        <v>1.3591701565909315</v>
      </c>
      <c r="CL107" s="1427">
        <v>1.3591701565909315</v>
      </c>
      <c r="CM107" s="1427">
        <v>1.3591701565909315</v>
      </c>
      <c r="CN107" s="1427">
        <v>1.3591701565909315</v>
      </c>
      <c r="CO107" s="1427">
        <v>1.3591701565909315</v>
      </c>
      <c r="CP107" s="1428">
        <v>1.3591701565909315</v>
      </c>
    </row>
    <row r="108" spans="2:94" ht="30" customHeight="1" x14ac:dyDescent="0.3">
      <c r="B108" s="1729"/>
      <c r="C108" s="1446" t="s">
        <v>1348</v>
      </c>
      <c r="D108" s="1446" t="s">
        <v>1349</v>
      </c>
      <c r="E108" s="1260" t="s">
        <v>1319</v>
      </c>
      <c r="F108" s="1287"/>
      <c r="G108" s="1287"/>
      <c r="H108" s="1264" t="s">
        <v>1318</v>
      </c>
      <c r="I108" s="1261"/>
      <c r="J108" s="1259"/>
      <c r="K108" s="1259"/>
      <c r="L108" s="1259" t="s">
        <v>2240</v>
      </c>
      <c r="M108" s="1259"/>
      <c r="N108" s="1426"/>
      <c r="O108" s="1427">
        <v>5.6121884862150834E-2</v>
      </c>
      <c r="P108" s="1427">
        <v>0.13967947718858709</v>
      </c>
      <c r="Q108" s="1427">
        <v>0.27842110192698927</v>
      </c>
      <c r="R108" s="1427">
        <v>0.41559963924841647</v>
      </c>
      <c r="S108" s="1427">
        <v>0.55121508915286854</v>
      </c>
      <c r="T108" s="1427">
        <v>0.68526745164034586</v>
      </c>
      <c r="U108" s="1427">
        <v>0.95806143886622508</v>
      </c>
      <c r="V108" s="1427">
        <v>1.3680339634135317</v>
      </c>
      <c r="W108" s="1427">
        <v>2.0539266500206672</v>
      </c>
      <c r="X108" s="1427">
        <v>2.7320038995429288</v>
      </c>
      <c r="Y108" s="1427">
        <v>2.7007421512034289</v>
      </c>
      <c r="Z108" s="1427">
        <v>2.6694804028639298</v>
      </c>
      <c r="AA108" s="1427">
        <v>2.6382186545244299</v>
      </c>
      <c r="AB108" s="1427">
        <v>2.6069569061849305</v>
      </c>
      <c r="AC108" s="1427">
        <v>2.5756951578454315</v>
      </c>
      <c r="AD108" s="1427">
        <v>2.544433409505932</v>
      </c>
      <c r="AE108" s="1427">
        <v>2.513171661166433</v>
      </c>
      <c r="AF108" s="1427">
        <v>2.4819099128269335</v>
      </c>
      <c r="AG108" s="1427">
        <v>2.4506481644874341</v>
      </c>
      <c r="AH108" s="1427">
        <v>2.4193864161479346</v>
      </c>
      <c r="AI108" s="1427">
        <v>2.3881246678084351</v>
      </c>
      <c r="AJ108" s="1427">
        <v>2.3568629194689361</v>
      </c>
      <c r="AK108" s="1427">
        <v>2.3256011711294367</v>
      </c>
      <c r="AL108" s="1427">
        <v>2.2943394227899372</v>
      </c>
      <c r="AM108" s="1427">
        <v>2.2630776744504377</v>
      </c>
      <c r="AN108" s="1427">
        <v>2.2339145774486258</v>
      </c>
      <c r="AO108" s="1427">
        <v>2.2058008061156569</v>
      </c>
      <c r="AP108" s="1427">
        <v>2.179785686120375</v>
      </c>
      <c r="AQ108" s="1427">
        <v>2.1537705661250928</v>
      </c>
      <c r="AR108" s="1427">
        <v>2.1277554461298114</v>
      </c>
      <c r="AS108" s="1427">
        <v>2.10174032613453</v>
      </c>
      <c r="AT108" s="1427">
        <v>2.0809718344834653</v>
      </c>
      <c r="AU108" s="1427">
        <v>2.0654499711766188</v>
      </c>
      <c r="AV108" s="1427">
        <v>2.0604213645582075</v>
      </c>
      <c r="AW108" s="1427">
        <v>2.0553927579397961</v>
      </c>
      <c r="AX108" s="1427">
        <v>2.0241310096002967</v>
      </c>
      <c r="AY108" s="1427">
        <v>1.992869261260797</v>
      </c>
      <c r="AZ108" s="1427">
        <v>1.961607512921298</v>
      </c>
      <c r="BA108" s="1427">
        <v>1.9303457645817985</v>
      </c>
      <c r="BB108" s="1427">
        <v>1.8990840162422993</v>
      </c>
      <c r="BC108" s="1427">
        <v>1.8782016863544591</v>
      </c>
      <c r="BD108" s="1427">
        <v>1.8625090656924477</v>
      </c>
      <c r="BE108" s="1427">
        <v>1.857195863482096</v>
      </c>
      <c r="BF108" s="1427">
        <v>1.8518826612717441</v>
      </c>
      <c r="BG108" s="1427">
        <v>1.8465694590613926</v>
      </c>
      <c r="BH108" s="1427">
        <v>1.8412562568510407</v>
      </c>
      <c r="BI108" s="1427">
        <v>1.8618916007698363</v>
      </c>
      <c r="BJ108" s="1427">
        <v>1.9084754908177797</v>
      </c>
      <c r="BK108" s="1427">
        <v>2.0069564731240179</v>
      </c>
      <c r="BL108" s="1427">
        <v>2.105437455430256</v>
      </c>
      <c r="BM108" s="1427">
        <v>2.0762743584284435</v>
      </c>
      <c r="BN108" s="1427">
        <v>2.0481605870954751</v>
      </c>
      <c r="BO108" s="1427">
        <v>2.0221454671001933</v>
      </c>
      <c r="BP108" s="1427">
        <v>1.9961303471049114</v>
      </c>
      <c r="BQ108" s="1427">
        <v>1.9701152271096296</v>
      </c>
      <c r="BR108" s="1427">
        <v>1.9441001071143478</v>
      </c>
      <c r="BS108" s="1427">
        <v>1.9233316154632836</v>
      </c>
      <c r="BT108" s="1427">
        <v>1.9078097521564368</v>
      </c>
      <c r="BU108" s="1427">
        <v>1.9027811455380255</v>
      </c>
      <c r="BV108" s="1427">
        <v>1.8977525389196137</v>
      </c>
      <c r="BW108" s="1427">
        <v>1.8664907905801147</v>
      </c>
      <c r="BX108" s="1427">
        <v>1.8352290422406152</v>
      </c>
      <c r="BY108" s="1427">
        <v>1.803967293901116</v>
      </c>
      <c r="BZ108" s="1427">
        <v>1.7727055455616165</v>
      </c>
      <c r="CA108" s="1427">
        <v>1.7414437972221171</v>
      </c>
      <c r="CB108" s="1427">
        <v>1.7101820488826178</v>
      </c>
      <c r="CC108" s="1427">
        <v>1.6789203005431181</v>
      </c>
      <c r="CD108" s="1427">
        <v>1.6476585522036189</v>
      </c>
      <c r="CE108" s="1427">
        <v>1.6163968038641197</v>
      </c>
      <c r="CF108" s="1427">
        <v>1.5851350555246204</v>
      </c>
      <c r="CG108" s="1427">
        <v>1.5538733071851212</v>
      </c>
      <c r="CH108" s="1427">
        <v>1.5226115588456217</v>
      </c>
      <c r="CI108" s="1427">
        <v>1.491349810506122</v>
      </c>
      <c r="CJ108" s="1427">
        <v>1.4600880621666228</v>
      </c>
      <c r="CK108" s="1427">
        <v>1.4288263138271233</v>
      </c>
      <c r="CL108" s="1427">
        <v>1.3996632168253114</v>
      </c>
      <c r="CM108" s="1427">
        <v>1.3715494454923425</v>
      </c>
      <c r="CN108" s="1427">
        <v>1.3455343254970606</v>
      </c>
      <c r="CO108" s="1427">
        <v>1.319519205501779</v>
      </c>
      <c r="CP108" s="1428">
        <v>1.293504085506497</v>
      </c>
    </row>
    <row r="109" spans="2:94" ht="30" customHeight="1" x14ac:dyDescent="0.3">
      <c r="B109" s="1729"/>
      <c r="C109" s="1446" t="s">
        <v>1348</v>
      </c>
      <c r="D109" s="1446" t="s">
        <v>1349</v>
      </c>
      <c r="E109" s="1260" t="s">
        <v>1320</v>
      </c>
      <c r="F109" s="1287"/>
      <c r="G109" s="1287"/>
      <c r="H109" s="1264" t="s">
        <v>1318</v>
      </c>
      <c r="I109" s="1261"/>
      <c r="J109" s="1259"/>
      <c r="K109" s="1259"/>
      <c r="L109" s="1259"/>
      <c r="M109" s="1259"/>
      <c r="N109" s="1426"/>
      <c r="O109" s="1427"/>
      <c r="P109" s="1427">
        <v>3.5000000000000003E-2</v>
      </c>
      <c r="Q109" s="1427">
        <v>3.5000000000000003E-2</v>
      </c>
      <c r="R109" s="1427">
        <v>3.5000000000000003E-2</v>
      </c>
      <c r="S109" s="1427">
        <v>3.5000000000000003E-2</v>
      </c>
      <c r="T109" s="1427">
        <v>3.5000000000000003E-2</v>
      </c>
      <c r="U109" s="1427">
        <v>3.5000000000000003E-2</v>
      </c>
      <c r="V109" s="1427">
        <v>3.5000000000000003E-2</v>
      </c>
      <c r="W109" s="1427">
        <v>3.5000000000000003E-2</v>
      </c>
      <c r="X109" s="1427">
        <v>3.5000000000000003E-2</v>
      </c>
      <c r="Y109" s="1427">
        <v>3.5000000000000003E-2</v>
      </c>
      <c r="Z109" s="1427">
        <v>3.5000000000000003E-2</v>
      </c>
      <c r="AA109" s="1427">
        <v>3.5000000000000003E-2</v>
      </c>
      <c r="AB109" s="1427">
        <v>3.5000000000000003E-2</v>
      </c>
      <c r="AC109" s="1427">
        <v>3.5000000000000003E-2</v>
      </c>
      <c r="AD109" s="1427">
        <v>3.5000000000000003E-2</v>
      </c>
      <c r="AE109" s="1427">
        <v>3.5000000000000003E-2</v>
      </c>
      <c r="AF109" s="1427">
        <v>3.5000000000000003E-2</v>
      </c>
      <c r="AG109" s="1427">
        <v>3.5000000000000003E-2</v>
      </c>
      <c r="AH109" s="1427">
        <v>3.5000000000000003E-2</v>
      </c>
      <c r="AI109" s="1427">
        <v>3.5000000000000003E-2</v>
      </c>
      <c r="AJ109" s="1427">
        <v>3.5000000000000003E-2</v>
      </c>
      <c r="AK109" s="1427">
        <v>3.5000000000000003E-2</v>
      </c>
      <c r="AL109" s="1427">
        <v>3.5000000000000003E-2</v>
      </c>
      <c r="AM109" s="1427">
        <v>3.5000000000000003E-2</v>
      </c>
      <c r="AN109" s="1427">
        <v>3.5000000000000003E-2</v>
      </c>
      <c r="AO109" s="1427">
        <v>3.5000000000000003E-2</v>
      </c>
      <c r="AP109" s="1427">
        <v>3.5000000000000003E-2</v>
      </c>
      <c r="AQ109" s="1427">
        <v>3.5000000000000003E-2</v>
      </c>
      <c r="AR109" s="1427">
        <v>3.5000000000000003E-2</v>
      </c>
      <c r="AS109" s="1427">
        <v>0.03</v>
      </c>
      <c r="AT109" s="1427">
        <v>0.03</v>
      </c>
      <c r="AU109" s="1427">
        <v>0.03</v>
      </c>
      <c r="AV109" s="1427">
        <v>0.03</v>
      </c>
      <c r="AW109" s="1427">
        <v>0.03</v>
      </c>
      <c r="AX109" s="1427">
        <v>0.03</v>
      </c>
      <c r="AY109" s="1427">
        <v>0.03</v>
      </c>
      <c r="AZ109" s="1427">
        <v>0.03</v>
      </c>
      <c r="BA109" s="1427">
        <v>0.03</v>
      </c>
      <c r="BB109" s="1427">
        <v>0.03</v>
      </c>
      <c r="BC109" s="1427">
        <v>0.03</v>
      </c>
      <c r="BD109" s="1427">
        <v>0.03</v>
      </c>
      <c r="BE109" s="1427">
        <v>0.03</v>
      </c>
      <c r="BF109" s="1427">
        <v>0.03</v>
      </c>
      <c r="BG109" s="1427">
        <v>0.03</v>
      </c>
      <c r="BH109" s="1427">
        <v>0.03</v>
      </c>
      <c r="BI109" s="1427">
        <v>0.03</v>
      </c>
      <c r="BJ109" s="1427">
        <v>0.03</v>
      </c>
      <c r="BK109" s="1427">
        <v>0.03</v>
      </c>
      <c r="BL109" s="1427">
        <v>0.03</v>
      </c>
      <c r="BM109" s="1427">
        <v>0.03</v>
      </c>
      <c r="BN109" s="1427">
        <v>0.03</v>
      </c>
      <c r="BO109" s="1427">
        <v>0.03</v>
      </c>
      <c r="BP109" s="1427">
        <v>0.03</v>
      </c>
      <c r="BQ109" s="1427">
        <v>0.03</v>
      </c>
      <c r="BR109" s="1427">
        <v>0.03</v>
      </c>
      <c r="BS109" s="1427">
        <v>0.03</v>
      </c>
      <c r="BT109" s="1427">
        <v>0.03</v>
      </c>
      <c r="BU109" s="1427">
        <v>0.03</v>
      </c>
      <c r="BV109" s="1427">
        <v>0.03</v>
      </c>
      <c r="BW109" s="1427">
        <v>0.03</v>
      </c>
      <c r="BX109" s="1427">
        <v>0.03</v>
      </c>
      <c r="BY109" s="1427">
        <v>0.03</v>
      </c>
      <c r="BZ109" s="1427">
        <v>0.03</v>
      </c>
      <c r="CA109" s="1427">
        <v>0.03</v>
      </c>
      <c r="CB109" s="1427">
        <v>0.03</v>
      </c>
      <c r="CC109" s="1427">
        <v>0.03</v>
      </c>
      <c r="CD109" s="1427">
        <v>0.03</v>
      </c>
      <c r="CE109" s="1427">
        <v>0.03</v>
      </c>
      <c r="CF109" s="1427">
        <v>0.03</v>
      </c>
      <c r="CG109" s="1427">
        <v>0.03</v>
      </c>
      <c r="CH109" s="1427">
        <v>0.03</v>
      </c>
      <c r="CI109" s="1427">
        <v>0.03</v>
      </c>
      <c r="CJ109" s="1427">
        <v>0.03</v>
      </c>
      <c r="CK109" s="1427">
        <v>0.03</v>
      </c>
      <c r="CL109" s="1427">
        <v>2.5000000000000001E-2</v>
      </c>
      <c r="CM109" s="1427">
        <v>2.5000000000000001E-2</v>
      </c>
      <c r="CN109" s="1427">
        <v>2.5000000000000001E-2</v>
      </c>
      <c r="CO109" s="1427">
        <v>2.5000000000000001E-2</v>
      </c>
      <c r="CP109" s="1428">
        <v>2.5000000000000001E-2</v>
      </c>
    </row>
    <row r="110" spans="2:94" ht="31" x14ac:dyDescent="0.3">
      <c r="B110" s="1729"/>
      <c r="C110" s="1446" t="s">
        <v>1348</v>
      </c>
      <c r="D110" s="1446" t="s">
        <v>1349</v>
      </c>
      <c r="E110" s="1260" t="s">
        <v>1321</v>
      </c>
      <c r="F110" s="1287"/>
      <c r="G110" s="1287"/>
      <c r="H110" s="1264" t="s">
        <v>1318</v>
      </c>
      <c r="I110" s="1261"/>
      <c r="J110" s="1259"/>
      <c r="K110" s="1259"/>
      <c r="L110" s="1259"/>
      <c r="M110" s="1259"/>
      <c r="N110" s="1426"/>
      <c r="O110" s="1427">
        <v>1</v>
      </c>
      <c r="P110" s="1427">
        <v>0.96618357487922713</v>
      </c>
      <c r="Q110" s="1427">
        <v>0.93351070036640305</v>
      </c>
      <c r="R110" s="1427">
        <v>0.90194270566802237</v>
      </c>
      <c r="S110" s="1427">
        <v>0.87144222769857238</v>
      </c>
      <c r="T110" s="1427">
        <v>0.84197316685852408</v>
      </c>
      <c r="U110" s="1427">
        <v>0.81350064430775282</v>
      </c>
      <c r="V110" s="1427">
        <v>0.78599096068381924</v>
      </c>
      <c r="W110" s="1427">
        <v>0.75941155621625056</v>
      </c>
      <c r="X110" s="1427">
        <v>0.73373097218961414</v>
      </c>
      <c r="Y110" s="1427">
        <v>0.70891881370977217</v>
      </c>
      <c r="Z110" s="1427">
        <v>0.68494571372924851</v>
      </c>
      <c r="AA110" s="1427">
        <v>0.66178329828912907</v>
      </c>
      <c r="AB110" s="1427">
        <v>0.63940415293635666</v>
      </c>
      <c r="AC110" s="1427">
        <v>0.61778179027667313</v>
      </c>
      <c r="AD110" s="1427">
        <v>0.59689061862480497</v>
      </c>
      <c r="AE110" s="1427">
        <v>0.57670591171478747</v>
      </c>
      <c r="AF110" s="1427">
        <v>0.55720377943457733</v>
      </c>
      <c r="AG110" s="1427">
        <v>0.53836113955031628</v>
      </c>
      <c r="AH110" s="1427">
        <v>0.520155690386779</v>
      </c>
      <c r="AI110" s="1427">
        <v>0.50256588443167061</v>
      </c>
      <c r="AJ110" s="1427">
        <v>0.48557090283253201</v>
      </c>
      <c r="AK110" s="1427">
        <v>0.46915063075606961</v>
      </c>
      <c r="AL110" s="1427">
        <v>0.45328563358074364</v>
      </c>
      <c r="AM110" s="1427">
        <v>0.43795713389443836</v>
      </c>
      <c r="AN110" s="1427">
        <v>0.42314698926998878</v>
      </c>
      <c r="AO110" s="1427">
        <v>0.40883767079225974</v>
      </c>
      <c r="AP110" s="1427">
        <v>0.39501224231136212</v>
      </c>
      <c r="AQ110" s="1427">
        <v>0.38165434039745133</v>
      </c>
      <c r="AR110" s="1427">
        <v>0.36874815497338298</v>
      </c>
      <c r="AS110" s="1427">
        <v>0.35800791744988636</v>
      </c>
      <c r="AT110" s="1427">
        <v>0.34758050237853044</v>
      </c>
      <c r="AU110" s="1427">
        <v>0.33745679842575771</v>
      </c>
      <c r="AV110" s="1427">
        <v>0.32762795963665797</v>
      </c>
      <c r="AW110" s="1427">
        <v>0.31808539770549316</v>
      </c>
      <c r="AX110" s="1427">
        <v>0.30882077447135259</v>
      </c>
      <c r="AY110" s="1427">
        <v>0.29982599463238113</v>
      </c>
      <c r="AZ110" s="1427">
        <v>0.29109319867221467</v>
      </c>
      <c r="BA110" s="1427">
        <v>0.2826147559924414</v>
      </c>
      <c r="BB110" s="1427">
        <v>0.27438325824508875</v>
      </c>
      <c r="BC110" s="1427">
        <v>0.26639151285930945</v>
      </c>
      <c r="BD110" s="1427">
        <v>0.25863253675661113</v>
      </c>
      <c r="BE110" s="1427">
        <v>0.25109955024913699</v>
      </c>
      <c r="BF110" s="1427">
        <v>0.24378597111566697</v>
      </c>
      <c r="BG110" s="1427">
        <v>0.23668540885016209</v>
      </c>
      <c r="BH110" s="1427">
        <v>0.22979165907782728</v>
      </c>
      <c r="BI110" s="1427">
        <v>0.22309869813381289</v>
      </c>
      <c r="BJ110" s="1427">
        <v>0.21660067779981834</v>
      </c>
      <c r="BK110" s="1427">
        <v>0.21029192019399839</v>
      </c>
      <c r="BL110" s="1427">
        <v>0.20416691280970717</v>
      </c>
      <c r="BM110" s="1427">
        <v>0.19822030369874483</v>
      </c>
      <c r="BN110" s="1427">
        <v>0.19244689679489788</v>
      </c>
      <c r="BO110" s="1427">
        <v>0.18684164737368725</v>
      </c>
      <c r="BP110" s="1427">
        <v>0.18139965764435656</v>
      </c>
      <c r="BQ110" s="1427">
        <v>0.17611617247024908</v>
      </c>
      <c r="BR110" s="1427">
        <v>0.17098657521383406</v>
      </c>
      <c r="BS110" s="1427">
        <v>0.1660063837027515</v>
      </c>
      <c r="BT110" s="1427">
        <v>0.16117124631335097</v>
      </c>
      <c r="BU110" s="1427">
        <v>0.15647693816830191</v>
      </c>
      <c r="BV110" s="1427">
        <v>0.1519193574449533</v>
      </c>
      <c r="BW110" s="1427">
        <v>0.1474945217912168</v>
      </c>
      <c r="BX110" s="1427">
        <v>0.14319856484584156</v>
      </c>
      <c r="BY110" s="1427">
        <v>0.13902773286004036</v>
      </c>
      <c r="BZ110" s="1427">
        <v>0.13497838141751492</v>
      </c>
      <c r="CA110" s="1427">
        <v>0.13104697225001449</v>
      </c>
      <c r="CB110" s="1427">
        <v>0.12723007014564514</v>
      </c>
      <c r="CC110" s="1427">
        <v>0.12352433994722828</v>
      </c>
      <c r="CD110" s="1427">
        <v>0.11992654363808571</v>
      </c>
      <c r="CE110" s="1427">
        <v>0.11643353751270456</v>
      </c>
      <c r="CF110" s="1427">
        <v>0.11304226942981026</v>
      </c>
      <c r="CG110" s="1427">
        <v>0.10974977614544684</v>
      </c>
      <c r="CH110" s="1427">
        <v>0.10655318072373479</v>
      </c>
      <c r="CI110" s="1427">
        <v>0.10344969002304348</v>
      </c>
      <c r="CJ110" s="1427">
        <v>0.10043659225538201</v>
      </c>
      <c r="CK110" s="1427">
        <v>9.7511254616875737E-2</v>
      </c>
      <c r="CL110" s="1427">
        <v>9.5132931333537313E-2</v>
      </c>
      <c r="CM110" s="1427">
        <v>9.2812615935158368E-2</v>
      </c>
      <c r="CN110" s="1427">
        <v>9.0548893595276458E-2</v>
      </c>
      <c r="CO110" s="1427">
        <v>8.834038399539168E-2</v>
      </c>
      <c r="CP110" s="1428">
        <v>8.6185740483308959E-2</v>
      </c>
    </row>
    <row r="111" spans="2:94" ht="31" x14ac:dyDescent="0.3">
      <c r="B111" s="1729"/>
      <c r="C111" s="1446" t="s">
        <v>1348</v>
      </c>
      <c r="D111" s="1446" t="s">
        <v>1349</v>
      </c>
      <c r="E111" s="1260" t="s">
        <v>1322</v>
      </c>
      <c r="F111" s="1260" t="s">
        <v>1330</v>
      </c>
      <c r="G111" s="1260"/>
      <c r="H111" s="1260" t="s">
        <v>1324</v>
      </c>
      <c r="I111" s="1261"/>
      <c r="J111" s="1259"/>
      <c r="K111" s="1259"/>
      <c r="L111" s="1259"/>
      <c r="M111" s="1259"/>
      <c r="N111" s="1426"/>
      <c r="O111" s="1427"/>
      <c r="P111" s="1427"/>
      <c r="Q111" s="1427"/>
      <c r="R111" s="1427"/>
      <c r="S111" s="1427"/>
      <c r="T111" s="1427"/>
      <c r="U111" s="1427"/>
      <c r="V111" s="1427"/>
      <c r="W111" s="1427"/>
      <c r="X111" s="1427"/>
      <c r="Y111" s="1427"/>
      <c r="Z111" s="1427"/>
      <c r="AA111" s="1427"/>
      <c r="AB111" s="1427"/>
      <c r="AC111" s="1427"/>
      <c r="AD111" s="1427"/>
      <c r="AE111" s="1427"/>
      <c r="AF111" s="1427"/>
      <c r="AG111" s="1427"/>
      <c r="AH111" s="1427"/>
      <c r="AI111" s="1427"/>
      <c r="AJ111" s="1427"/>
      <c r="AK111" s="1427"/>
      <c r="AL111" s="1427"/>
      <c r="AM111" s="1427"/>
      <c r="AN111" s="1427"/>
      <c r="AO111" s="1427"/>
      <c r="AP111" s="1427"/>
      <c r="AQ111" s="1427"/>
      <c r="AR111" s="1427"/>
      <c r="AS111" s="1427"/>
      <c r="AT111" s="1427"/>
      <c r="AU111" s="1427"/>
      <c r="AV111" s="1427"/>
      <c r="AW111" s="1427"/>
      <c r="AX111" s="1427"/>
      <c r="AY111" s="1427"/>
      <c r="AZ111" s="1427"/>
      <c r="BA111" s="1427"/>
      <c r="BB111" s="1427"/>
      <c r="BC111" s="1427"/>
      <c r="BD111" s="1427"/>
      <c r="BE111" s="1427"/>
      <c r="BF111" s="1427"/>
      <c r="BG111" s="1427"/>
      <c r="BH111" s="1427"/>
      <c r="BI111" s="1427"/>
      <c r="BJ111" s="1427"/>
      <c r="BK111" s="1427"/>
      <c r="BL111" s="1427"/>
      <c r="BM111" s="1427"/>
      <c r="BN111" s="1427"/>
      <c r="BO111" s="1427"/>
      <c r="BP111" s="1427"/>
      <c r="BQ111" s="1427"/>
      <c r="BR111" s="1427"/>
      <c r="BS111" s="1427"/>
      <c r="BT111" s="1427"/>
      <c r="BU111" s="1427"/>
      <c r="BV111" s="1427"/>
      <c r="BW111" s="1427"/>
      <c r="BX111" s="1427"/>
      <c r="BY111" s="1427"/>
      <c r="BZ111" s="1427"/>
      <c r="CA111" s="1427"/>
      <c r="CB111" s="1427"/>
      <c r="CC111" s="1427"/>
      <c r="CD111" s="1427"/>
      <c r="CE111" s="1427"/>
      <c r="CF111" s="1427"/>
      <c r="CG111" s="1427"/>
      <c r="CH111" s="1427"/>
      <c r="CI111" s="1427"/>
      <c r="CJ111" s="1427"/>
      <c r="CK111" s="1427"/>
      <c r="CL111" s="1427"/>
      <c r="CM111" s="1427"/>
      <c r="CN111" s="1427"/>
      <c r="CO111" s="1427"/>
      <c r="CP111" s="1428"/>
    </row>
    <row r="112" spans="2:94" ht="31" x14ac:dyDescent="0.3">
      <c r="B112" s="1729"/>
      <c r="C112" s="1446" t="s">
        <v>1348</v>
      </c>
      <c r="D112" s="1446" t="s">
        <v>1349</v>
      </c>
      <c r="E112" s="1264" t="s">
        <v>1322</v>
      </c>
      <c r="F112" s="1260" t="s">
        <v>1325</v>
      </c>
      <c r="G112" s="1260"/>
      <c r="H112" s="1285" t="s">
        <v>1324</v>
      </c>
      <c r="I112" s="1284"/>
      <c r="J112" s="1259"/>
      <c r="K112" s="1259"/>
      <c r="L112" s="1259"/>
      <c r="M112" s="1259"/>
      <c r="N112" s="1426"/>
      <c r="O112" s="1427"/>
      <c r="P112" s="1427"/>
      <c r="Q112" s="1427"/>
      <c r="R112" s="1427"/>
      <c r="S112" s="1427"/>
      <c r="T112" s="1427"/>
      <c r="U112" s="1427"/>
      <c r="V112" s="1427"/>
      <c r="W112" s="1427"/>
      <c r="X112" s="1427"/>
      <c r="Y112" s="1427"/>
      <c r="Z112" s="1427"/>
      <c r="AA112" s="1427"/>
      <c r="AB112" s="1427"/>
      <c r="AC112" s="1427"/>
      <c r="AD112" s="1427"/>
      <c r="AE112" s="1427"/>
      <c r="AF112" s="1427"/>
      <c r="AG112" s="1427"/>
      <c r="AH112" s="1427"/>
      <c r="AI112" s="1427"/>
      <c r="AJ112" s="1427"/>
      <c r="AK112" s="1427"/>
      <c r="AL112" s="1427"/>
      <c r="AM112" s="1427"/>
      <c r="AN112" s="1427"/>
      <c r="AO112" s="1427"/>
      <c r="AP112" s="1427"/>
      <c r="AQ112" s="1427"/>
      <c r="AR112" s="1427"/>
      <c r="AS112" s="1427"/>
      <c r="AT112" s="1427"/>
      <c r="AU112" s="1427"/>
      <c r="AV112" s="1427"/>
      <c r="AW112" s="1427"/>
      <c r="AX112" s="1427"/>
      <c r="AY112" s="1427"/>
      <c r="AZ112" s="1427"/>
      <c r="BA112" s="1427"/>
      <c r="BB112" s="1427"/>
      <c r="BC112" s="1427"/>
      <c r="BD112" s="1427"/>
      <c r="BE112" s="1427"/>
      <c r="BF112" s="1427"/>
      <c r="BG112" s="1427"/>
      <c r="BH112" s="1427"/>
      <c r="BI112" s="1427"/>
      <c r="BJ112" s="1427"/>
      <c r="BK112" s="1427"/>
      <c r="BL112" s="1427"/>
      <c r="BM112" s="1427"/>
      <c r="BN112" s="1427"/>
      <c r="BO112" s="1427"/>
      <c r="BP112" s="1427"/>
      <c r="BQ112" s="1427"/>
      <c r="BR112" s="1427"/>
      <c r="BS112" s="1427"/>
      <c r="BT112" s="1427"/>
      <c r="BU112" s="1427"/>
      <c r="BV112" s="1427"/>
      <c r="BW112" s="1427"/>
      <c r="BX112" s="1427"/>
      <c r="BY112" s="1427"/>
      <c r="BZ112" s="1427"/>
      <c r="CA112" s="1427"/>
      <c r="CB112" s="1427"/>
      <c r="CC112" s="1427"/>
      <c r="CD112" s="1427"/>
      <c r="CE112" s="1427"/>
      <c r="CF112" s="1427"/>
      <c r="CG112" s="1427"/>
      <c r="CH112" s="1427"/>
      <c r="CI112" s="1427"/>
      <c r="CJ112" s="1427"/>
      <c r="CK112" s="1427"/>
      <c r="CL112" s="1427"/>
      <c r="CM112" s="1427"/>
      <c r="CN112" s="1427"/>
      <c r="CO112" s="1427"/>
      <c r="CP112" s="1428"/>
    </row>
    <row r="113" spans="2:94" s="1278" customFormat="1" ht="31.5" thickBot="1" x14ac:dyDescent="0.35">
      <c r="B113" s="1729"/>
      <c r="C113" s="1446" t="s">
        <v>1348</v>
      </c>
      <c r="D113" s="1446" t="s">
        <v>1349</v>
      </c>
      <c r="E113" s="1280" t="s">
        <v>1326</v>
      </c>
      <c r="F113" s="1279"/>
      <c r="G113" s="1279"/>
      <c r="H113" s="1279" t="s">
        <v>163</v>
      </c>
      <c r="I113" s="1283"/>
      <c r="J113" s="1282"/>
      <c r="K113" s="1282"/>
      <c r="L113" s="1282"/>
      <c r="M113" s="1282"/>
      <c r="N113" s="1434" t="str">
        <f>IF((N107+N108)*N110&lt;&gt;0,(N107+N108)*N110,"")</f>
        <v/>
      </c>
      <c r="O113" s="1435">
        <v>5.6121883994058062E-2</v>
      </c>
      <c r="P113" s="1435">
        <v>0.13495601452392456</v>
      </c>
      <c r="Q113" s="1435">
        <v>0.25990907385021716</v>
      </c>
      <c r="R113" s="1435">
        <v>0.37484705733271223</v>
      </c>
      <c r="S113" s="1435">
        <v>0.48035209786141841</v>
      </c>
      <c r="T113" s="1435">
        <v>0.57697679757074349</v>
      </c>
      <c r="U113" s="1435">
        <v>0.7793835858812469</v>
      </c>
      <c r="V113" s="1435">
        <v>1.0752623127057794</v>
      </c>
      <c r="W113" s="1435">
        <v>1.559775609780172</v>
      </c>
      <c r="X113" s="1435">
        <v>2.0045558465992719</v>
      </c>
      <c r="Y113" s="1435">
        <v>2.8781481878981139</v>
      </c>
      <c r="Z113" s="1435">
        <v>2.7594069051630141</v>
      </c>
      <c r="AA113" s="1435">
        <v>2.6454051257105888</v>
      </c>
      <c r="AB113" s="1435">
        <v>2.535958090091162</v>
      </c>
      <c r="AC113" s="1435">
        <v>2.4308881148013874</v>
      </c>
      <c r="AD113" s="1435">
        <v>2.330024324999612</v>
      </c>
      <c r="AE113" s="1435">
        <v>2.2332023972067589</v>
      </c>
      <c r="AF113" s="1435">
        <v>2.1402643116230289</v>
      </c>
      <c r="AG113" s="1435">
        <v>2.05105811370432</v>
      </c>
      <c r="AH113" s="1435">
        <v>1.9654376846553365</v>
      </c>
      <c r="AI113" s="1435">
        <v>1.8832625205089757</v>
      </c>
      <c r="AJ113" s="1435">
        <v>1.8043975194737267</v>
      </c>
      <c r="AK113" s="1435">
        <v>1.728712777242539</v>
      </c>
      <c r="AL113" s="1435">
        <v>1.6560833899678677</v>
      </c>
      <c r="AM113" s="1435">
        <v>1.5863892646184949</v>
      </c>
      <c r="AN113" s="1435">
        <v>1.5204029743310585</v>
      </c>
      <c r="AO113" s="1435">
        <v>1.457494412334716</v>
      </c>
      <c r="AP113" s="1435">
        <v>1.3979308708148919</v>
      </c>
      <c r="AQ113" s="1435">
        <v>1.3407290627572266</v>
      </c>
      <c r="AR113" s="1435">
        <v>1.2857973713202804</v>
      </c>
      <c r="AS113" s="1435">
        <v>1.2390333435352503</v>
      </c>
      <c r="AT113" s="1435">
        <v>1.1957262707591585</v>
      </c>
      <c r="AU113" s="1435">
        <v>1.1556613332895873</v>
      </c>
      <c r="AV113" s="1435">
        <v>1.120353781510411</v>
      </c>
      <c r="AW113" s="1435">
        <v>1.0861225908397203</v>
      </c>
      <c r="AX113" s="1435">
        <v>1.0448336751527747</v>
      </c>
      <c r="AY113" s="1435">
        <v>1.0050285417805593</v>
      </c>
      <c r="AZ113" s="1435">
        <v>0.96665578368854532</v>
      </c>
      <c r="BA113" s="1435">
        <v>0.92966572968031269</v>
      </c>
      <c r="BB113" s="1435">
        <v>0.89401038689122359</v>
      </c>
      <c r="BC113" s="1435">
        <v>0.86240837410304583</v>
      </c>
      <c r="BD113" s="1435">
        <v>0.83323106142617442</v>
      </c>
      <c r="BE113" s="1435">
        <v>0.80762805295364193</v>
      </c>
      <c r="BF113" s="1435">
        <v>0.78280962169698187</v>
      </c>
      <c r="BG113" s="1435">
        <v>0.75875178409099886</v>
      </c>
      <c r="BH113" s="1435">
        <v>0.73543128808603619</v>
      </c>
      <c r="BI113" s="1435">
        <v>0.71861467765706788</v>
      </c>
      <c r="BJ113" s="1435">
        <v>0.70777425512895487</v>
      </c>
      <c r="BK113" s="1435">
        <v>0.70786922561939514</v>
      </c>
      <c r="BL113" s="1435">
        <v>0.70735823324252922</v>
      </c>
      <c r="BM113" s="1435">
        <v>0.68097484839753597</v>
      </c>
      <c r="BN113" s="1435">
        <v>0.65573022152194727</v>
      </c>
      <c r="BO113" s="1435">
        <v>0.63177057516496204</v>
      </c>
      <c r="BP113" s="1435">
        <v>0.60865035660088085</v>
      </c>
      <c r="BQ113" s="1435">
        <v>0.58634099296149733</v>
      </c>
      <c r="BR113" s="1435">
        <v>0.56481486370044653</v>
      </c>
      <c r="BS113" s="1435">
        <v>0.54491624304949182</v>
      </c>
      <c r="BT113" s="1435">
        <v>0.52654321791328973</v>
      </c>
      <c r="BU113" s="1435">
        <v>0.51042014632460453</v>
      </c>
      <c r="BV113" s="1435">
        <v>0.49478959705476067</v>
      </c>
      <c r="BW113" s="1435">
        <v>0.47576731304859526</v>
      </c>
      <c r="BX113" s="1435">
        <v>0.45743337527132205</v>
      </c>
      <c r="BY113" s="1435">
        <v>0.43976382317874285</v>
      </c>
      <c r="BZ113" s="1435">
        <v>0.42273550803740978</v>
      </c>
      <c r="CA113" s="1435">
        <v>0.40632606596127946</v>
      </c>
      <c r="CB113" s="1435">
        <v>0.39051389183035717</v>
      </c>
      <c r="CC113" s="1435">
        <v>0.37527811406282996</v>
      </c>
      <c r="CD113" s="1435">
        <v>0.36059857021309499</v>
      </c>
      <c r="CE113" s="1435">
        <v>0.3464557833689752</v>
      </c>
      <c r="CF113" s="1435">
        <v>0.33283093932226782</v>
      </c>
      <c r="CG113" s="1435">
        <v>0.31970586448760147</v>
      </c>
      <c r="CH113" s="1435">
        <v>0.30706300454537772</v>
      </c>
      <c r="CI113" s="1435">
        <v>0.29488540378534894</v>
      </c>
      <c r="CJ113" s="1435">
        <v>0.28315668512813758</v>
      </c>
      <c r="CK113" s="1435">
        <v>0.27186103080272817</v>
      </c>
      <c r="CL113" s="1435">
        <v>0.26245590309116018</v>
      </c>
      <c r="CM113" s="1435">
        <v>0.25344522696885646</v>
      </c>
      <c r="CN113" s="1435">
        <v>0.24490799573993863</v>
      </c>
      <c r="CO113" s="1435">
        <v>0.23663644430507347</v>
      </c>
      <c r="CP113" s="1436">
        <v>0.22862269133654914</v>
      </c>
    </row>
    <row r="114" spans="2:94" s="1278" customFormat="1" ht="31.5" thickBot="1" x14ac:dyDescent="0.35">
      <c r="B114" s="1730"/>
      <c r="C114" s="1442" t="s">
        <v>1348</v>
      </c>
      <c r="D114" s="1438" t="s">
        <v>1349</v>
      </c>
      <c r="E114" s="1280" t="s">
        <v>1327</v>
      </c>
      <c r="F114" s="1279"/>
      <c r="G114" s="1279"/>
      <c r="H114" s="1279" t="s">
        <v>163</v>
      </c>
      <c r="I114" s="1731">
        <f>IF(SUM($N113:$CP113)&lt;&gt;0,SUM($N113:$CP113),"")</f>
        <v>77.707496407630046</v>
      </c>
      <c r="J114" s="1732"/>
      <c r="K114" s="1732"/>
      <c r="L114" s="1732"/>
      <c r="M114" s="1733"/>
    </row>
    <row r="115" spans="2:94" ht="30" customHeight="1" x14ac:dyDescent="0.3">
      <c r="B115" s="1728" t="s">
        <v>1313</v>
      </c>
      <c r="C115" s="1688" t="s">
        <v>2204</v>
      </c>
      <c r="D115" s="1446" t="s">
        <v>2205</v>
      </c>
      <c r="E115" s="1269" t="s">
        <v>1316</v>
      </c>
      <c r="F115" s="1288"/>
      <c r="G115" s="1288"/>
      <c r="H115" s="1270" t="s">
        <v>163</v>
      </c>
      <c r="I115" s="1266"/>
      <c r="J115" s="1265"/>
      <c r="K115" s="1265"/>
      <c r="L115" s="1265"/>
      <c r="M115" s="1265"/>
      <c r="N115" s="1423"/>
      <c r="O115" s="1689">
        <v>43.595629510019108</v>
      </c>
      <c r="P115" s="1689">
        <v>43.595629510019108</v>
      </c>
      <c r="Q115" s="1689">
        <v>43.595629510019108</v>
      </c>
      <c r="R115" s="1689">
        <v>43.595629510019108</v>
      </c>
      <c r="S115" s="1689">
        <v>17.960332187626253</v>
      </c>
      <c r="T115" s="1689">
        <v>17.960332187626253</v>
      </c>
      <c r="U115" s="1689">
        <v>53.880996562878764</v>
      </c>
      <c r="V115" s="1689">
        <v>107.76199312575753</v>
      </c>
      <c r="W115" s="1689">
        <v>107.76199312575753</v>
      </c>
      <c r="X115" s="1689">
        <v>53.880996562878764</v>
      </c>
      <c r="Y115" s="1689">
        <v>0</v>
      </c>
      <c r="Z115" s="1689">
        <v>0</v>
      </c>
      <c r="AA115" s="1689">
        <v>0</v>
      </c>
      <c r="AB115" s="1689">
        <v>0</v>
      </c>
      <c r="AC115" s="1689">
        <v>0</v>
      </c>
      <c r="AD115" s="1689">
        <v>0</v>
      </c>
      <c r="AE115" s="1689">
        <v>0</v>
      </c>
      <c r="AF115" s="1689">
        <v>0</v>
      </c>
      <c r="AG115" s="1689">
        <v>0</v>
      </c>
      <c r="AH115" s="1689">
        <v>1.6435264573916888</v>
      </c>
      <c r="AI115" s="1689">
        <v>0</v>
      </c>
      <c r="AJ115" s="1689">
        <v>0</v>
      </c>
      <c r="AK115" s="1689">
        <v>0</v>
      </c>
      <c r="AL115" s="1689">
        <v>0</v>
      </c>
      <c r="AM115" s="1689">
        <v>0</v>
      </c>
      <c r="AN115" s="1689">
        <v>0</v>
      </c>
      <c r="AO115" s="1689">
        <v>0</v>
      </c>
      <c r="AP115" s="1689">
        <v>0</v>
      </c>
      <c r="AQ115" s="1689">
        <v>0</v>
      </c>
      <c r="AR115" s="1689">
        <v>37.444384733997417</v>
      </c>
      <c r="AS115" s="1689">
        <v>0</v>
      </c>
      <c r="AT115" s="1689">
        <v>0</v>
      </c>
      <c r="AU115" s="1689">
        <v>0</v>
      </c>
      <c r="AV115" s="1689">
        <v>0</v>
      </c>
      <c r="AW115" s="1689">
        <v>29.199939708807381</v>
      </c>
      <c r="AX115" s="1689">
        <v>0</v>
      </c>
      <c r="AY115" s="1689">
        <v>0</v>
      </c>
      <c r="AZ115" s="1689">
        <v>0</v>
      </c>
      <c r="BA115" s="1689">
        <v>0</v>
      </c>
      <c r="BB115" s="1689">
        <v>12.457217695297153</v>
      </c>
      <c r="BC115" s="1689">
        <v>0</v>
      </c>
      <c r="BD115" s="1689">
        <v>0</v>
      </c>
      <c r="BE115" s="1689">
        <v>0</v>
      </c>
      <c r="BF115" s="1689">
        <v>0</v>
      </c>
      <c r="BG115" s="1689">
        <v>0</v>
      </c>
      <c r="BH115" s="1689">
        <v>0</v>
      </c>
      <c r="BI115" s="1689">
        <v>0</v>
      </c>
      <c r="BJ115" s="1689">
        <v>0</v>
      </c>
      <c r="BK115" s="1689">
        <v>0</v>
      </c>
      <c r="BL115" s="1689">
        <v>39.503605703952879</v>
      </c>
      <c r="BM115" s="1689">
        <v>0</v>
      </c>
      <c r="BN115" s="1689">
        <v>0</v>
      </c>
      <c r="BO115" s="1689">
        <v>0</v>
      </c>
      <c r="BP115" s="1689">
        <v>0</v>
      </c>
      <c r="BQ115" s="1689">
        <v>0</v>
      </c>
      <c r="BR115" s="1689">
        <v>0</v>
      </c>
      <c r="BS115" s="1689">
        <v>0</v>
      </c>
      <c r="BT115" s="1689">
        <v>0</v>
      </c>
      <c r="BU115" s="1689">
        <v>0</v>
      </c>
      <c r="BV115" s="1689">
        <v>49.050873424964401</v>
      </c>
      <c r="BW115" s="1689">
        <v>0</v>
      </c>
      <c r="BX115" s="1689">
        <v>0</v>
      </c>
      <c r="BY115" s="1689">
        <v>0</v>
      </c>
      <c r="BZ115" s="1689">
        <v>0</v>
      </c>
      <c r="CA115" s="1689">
        <v>0</v>
      </c>
      <c r="CB115" s="1689">
        <v>0</v>
      </c>
      <c r="CC115" s="1689">
        <v>0</v>
      </c>
      <c r="CD115" s="1689">
        <v>0</v>
      </c>
      <c r="CE115" s="1689">
        <v>0</v>
      </c>
      <c r="CF115" s="1689">
        <v>79.361750046571174</v>
      </c>
      <c r="CG115" s="1689">
        <v>0</v>
      </c>
      <c r="CH115" s="1689">
        <v>0</v>
      </c>
      <c r="CI115" s="1689">
        <v>0</v>
      </c>
      <c r="CJ115" s="1689">
        <v>0</v>
      </c>
      <c r="CK115" s="1689">
        <v>0</v>
      </c>
      <c r="CL115" s="1689">
        <v>0</v>
      </c>
      <c r="CM115" s="1689">
        <v>0</v>
      </c>
      <c r="CN115" s="1689">
        <v>0</v>
      </c>
      <c r="CO115" s="1689">
        <v>0</v>
      </c>
      <c r="CP115" s="1690">
        <v>1.6435264573916888</v>
      </c>
    </row>
    <row r="116" spans="2:94" ht="30" customHeight="1" x14ac:dyDescent="0.3">
      <c r="B116" s="1729"/>
      <c r="C116" s="1286" t="str">
        <f>C115</f>
        <v>FND29</v>
      </c>
      <c r="D116" s="1446" t="s">
        <v>2205</v>
      </c>
      <c r="E116" s="1260" t="s">
        <v>1317</v>
      </c>
      <c r="F116" s="1287"/>
      <c r="G116" s="1287"/>
      <c r="H116" s="1264" t="s">
        <v>1318</v>
      </c>
      <c r="I116" s="1261"/>
      <c r="J116" s="1259"/>
      <c r="K116" s="1259"/>
      <c r="L116" s="1259"/>
      <c r="M116" s="1259"/>
      <c r="N116" s="1426"/>
      <c r="O116" s="1686">
        <v>0</v>
      </c>
      <c r="P116" s="1686">
        <v>0</v>
      </c>
      <c r="Q116" s="1686">
        <v>0</v>
      </c>
      <c r="R116" s="1686">
        <v>0</v>
      </c>
      <c r="S116" s="1686">
        <v>0</v>
      </c>
      <c r="T116" s="1686">
        <v>0</v>
      </c>
      <c r="U116" s="1686">
        <v>0</v>
      </c>
      <c r="V116" s="1686">
        <v>0</v>
      </c>
      <c r="W116" s="1686">
        <v>0</v>
      </c>
      <c r="X116" s="1686">
        <v>0</v>
      </c>
      <c r="Y116" s="1686">
        <v>2.511893688792</v>
      </c>
      <c r="Z116" s="1686">
        <v>2.511893688792</v>
      </c>
      <c r="AA116" s="1686">
        <v>2.511893688792</v>
      </c>
      <c r="AB116" s="1686">
        <v>2.511893688792</v>
      </c>
      <c r="AC116" s="1686">
        <v>2.511893688792</v>
      </c>
      <c r="AD116" s="1686">
        <v>2.511893688792</v>
      </c>
      <c r="AE116" s="1686">
        <v>2.511893688792</v>
      </c>
      <c r="AF116" s="1686">
        <v>2.511893688792</v>
      </c>
      <c r="AG116" s="1686">
        <v>2.511893688792</v>
      </c>
      <c r="AH116" s="1686">
        <v>2.511893688792</v>
      </c>
      <c r="AI116" s="1686">
        <v>2.511893688792</v>
      </c>
      <c r="AJ116" s="1686">
        <v>2.511893688792</v>
      </c>
      <c r="AK116" s="1686">
        <v>2.511893688792</v>
      </c>
      <c r="AL116" s="1686">
        <v>2.511893688792</v>
      </c>
      <c r="AM116" s="1686">
        <v>2.511893688792</v>
      </c>
      <c r="AN116" s="1686">
        <v>2.511893688792</v>
      </c>
      <c r="AO116" s="1686">
        <v>2.511893688792</v>
      </c>
      <c r="AP116" s="1686">
        <v>2.511893688792</v>
      </c>
      <c r="AQ116" s="1686">
        <v>2.511893688792</v>
      </c>
      <c r="AR116" s="1686">
        <v>2.511893688792</v>
      </c>
      <c r="AS116" s="1686">
        <v>2.511893688792</v>
      </c>
      <c r="AT116" s="1686">
        <v>2.511893688792</v>
      </c>
      <c r="AU116" s="1686">
        <v>2.511893688792</v>
      </c>
      <c r="AV116" s="1686">
        <v>2.511893688792</v>
      </c>
      <c r="AW116" s="1686">
        <v>2.511893688792</v>
      </c>
      <c r="AX116" s="1686">
        <v>2.511893688792</v>
      </c>
      <c r="AY116" s="1686">
        <v>2.511893688792</v>
      </c>
      <c r="AZ116" s="1686">
        <v>2.511893688792</v>
      </c>
      <c r="BA116" s="1686">
        <v>2.511893688792</v>
      </c>
      <c r="BB116" s="1686">
        <v>2.511893688792</v>
      </c>
      <c r="BC116" s="1686">
        <v>2.511893688792</v>
      </c>
      <c r="BD116" s="1686">
        <v>2.511893688792</v>
      </c>
      <c r="BE116" s="1686">
        <v>2.511893688792</v>
      </c>
      <c r="BF116" s="1686">
        <v>2.511893688792</v>
      </c>
      <c r="BG116" s="1686">
        <v>2.511893688792</v>
      </c>
      <c r="BH116" s="1686">
        <v>2.511893688792</v>
      </c>
      <c r="BI116" s="1686">
        <v>2.511893688792</v>
      </c>
      <c r="BJ116" s="1686">
        <v>2.511893688792</v>
      </c>
      <c r="BK116" s="1686">
        <v>2.511893688792</v>
      </c>
      <c r="BL116" s="1686">
        <v>2.511893688792</v>
      </c>
      <c r="BM116" s="1686">
        <v>2.511893688792</v>
      </c>
      <c r="BN116" s="1686">
        <v>2.511893688792</v>
      </c>
      <c r="BO116" s="1686">
        <v>2.511893688792</v>
      </c>
      <c r="BP116" s="1686">
        <v>2.511893688792</v>
      </c>
      <c r="BQ116" s="1686">
        <v>2.511893688792</v>
      </c>
      <c r="BR116" s="1686">
        <v>2.511893688792</v>
      </c>
      <c r="BS116" s="1686">
        <v>2.511893688792</v>
      </c>
      <c r="BT116" s="1686">
        <v>2.511893688792</v>
      </c>
      <c r="BU116" s="1686">
        <v>2.511893688792</v>
      </c>
      <c r="BV116" s="1686">
        <v>2.511893688792</v>
      </c>
      <c r="BW116" s="1686">
        <v>2.511893688792</v>
      </c>
      <c r="BX116" s="1686">
        <v>2.511893688792</v>
      </c>
      <c r="BY116" s="1686">
        <v>2.511893688792</v>
      </c>
      <c r="BZ116" s="1686">
        <v>2.511893688792</v>
      </c>
      <c r="CA116" s="1686">
        <v>2.511893688792</v>
      </c>
      <c r="CB116" s="1686">
        <v>2.511893688792</v>
      </c>
      <c r="CC116" s="1686">
        <v>2.511893688792</v>
      </c>
      <c r="CD116" s="1686">
        <v>2.511893688792</v>
      </c>
      <c r="CE116" s="1686">
        <v>2.511893688792</v>
      </c>
      <c r="CF116" s="1686">
        <v>2.511893688792</v>
      </c>
      <c r="CG116" s="1686">
        <v>2.511893688792</v>
      </c>
      <c r="CH116" s="1686">
        <v>2.511893688792</v>
      </c>
      <c r="CI116" s="1686">
        <v>2.511893688792</v>
      </c>
      <c r="CJ116" s="1686">
        <v>2.511893688792</v>
      </c>
      <c r="CK116" s="1686">
        <v>2.511893688792</v>
      </c>
      <c r="CL116" s="1686">
        <v>2.511893688792</v>
      </c>
      <c r="CM116" s="1686">
        <v>2.511893688792</v>
      </c>
      <c r="CN116" s="1686">
        <v>2.511893688792</v>
      </c>
      <c r="CO116" s="1686">
        <v>2.511893688792</v>
      </c>
      <c r="CP116" s="1687">
        <v>2.511893688792</v>
      </c>
    </row>
    <row r="117" spans="2:94" ht="30" customHeight="1" x14ac:dyDescent="0.3">
      <c r="B117" s="1729"/>
      <c r="C117" s="1286" t="str">
        <f t="shared" ref="C117:C123" si="0">C116</f>
        <v>FND29</v>
      </c>
      <c r="D117" s="1446" t="s">
        <v>2205</v>
      </c>
      <c r="E117" s="1260" t="s">
        <v>1319</v>
      </c>
      <c r="F117" s="1287"/>
      <c r="G117" s="1287"/>
      <c r="H117" s="1264" t="s">
        <v>1318</v>
      </c>
      <c r="I117" s="1261"/>
      <c r="J117" s="1259"/>
      <c r="K117" s="1259"/>
      <c r="L117" s="1259"/>
      <c r="M117" s="1259"/>
      <c r="N117" s="1426"/>
      <c r="O117" s="1686">
        <v>0.87441846698461823</v>
      </c>
      <c r="P117" s="1686">
        <v>2.6232554009538545</v>
      </c>
      <c r="Q117" s="1686">
        <v>4.3720923349230914</v>
      </c>
      <c r="R117" s="1686">
        <v>6.1209292688923274</v>
      </c>
      <c r="S117" s="1686">
        <v>7.4434423189900887</v>
      </c>
      <c r="T117" s="1686">
        <v>8.3396314852163762</v>
      </c>
      <c r="U117" s="1686">
        <v>10.132009817668949</v>
      </c>
      <c r="V117" s="1686">
        <v>14.164861065687241</v>
      </c>
      <c r="W117" s="1686">
        <v>19.541996063044962</v>
      </c>
      <c r="X117" s="1686">
        <v>23.574847311063252</v>
      </c>
      <c r="Y117" s="1686">
        <v>33.359329074868434</v>
      </c>
      <c r="Z117" s="1686">
        <v>33.109223755178562</v>
      </c>
      <c r="AA117" s="1686">
        <v>32.859118435488689</v>
      </c>
      <c r="AB117" s="1686">
        <v>32.609013115798817</v>
      </c>
      <c r="AC117" s="1686">
        <v>32.358907796108944</v>
      </c>
      <c r="AD117" s="1686">
        <v>32.108802476419072</v>
      </c>
      <c r="AE117" s="1686">
        <v>31.858697156729203</v>
      </c>
      <c r="AF117" s="1686">
        <v>31.608591837039331</v>
      </c>
      <c r="AG117" s="1686">
        <v>31.358486517349458</v>
      </c>
      <c r="AH117" s="1686">
        <v>31.141346196708188</v>
      </c>
      <c r="AI117" s="1686">
        <v>30.924205876066925</v>
      </c>
      <c r="AJ117" s="1686">
        <v>30.674100556377052</v>
      </c>
      <c r="AK117" s="1686">
        <v>30.42399523668718</v>
      </c>
      <c r="AL117" s="1686">
        <v>30.173889916997307</v>
      </c>
      <c r="AM117" s="1686">
        <v>29.923784597307435</v>
      </c>
      <c r="AN117" s="1686">
        <v>29.673679277617563</v>
      </c>
      <c r="AO117" s="1686">
        <v>29.423573957927694</v>
      </c>
      <c r="AP117" s="1686">
        <v>29.173468638237818</v>
      </c>
      <c r="AQ117" s="1686">
        <v>28.923363318547949</v>
      </c>
      <c r="AR117" s="1686">
        <v>29.424297996772534</v>
      </c>
      <c r="AS117" s="1686">
        <v>29.925232674997122</v>
      </c>
      <c r="AT117" s="1686">
        <v>29.675127355307247</v>
      </c>
      <c r="AU117" s="1686">
        <v>29.425022035617378</v>
      </c>
      <c r="AV117" s="1686">
        <v>29.174916715927505</v>
      </c>
      <c r="AW117" s="1686">
        <v>29.510488602948243</v>
      </c>
      <c r="AX117" s="1686">
        <v>29.846060489968981</v>
      </c>
      <c r="AY117" s="1686">
        <v>29.595955170279108</v>
      </c>
      <c r="AZ117" s="1686">
        <v>29.345849850589239</v>
      </c>
      <c r="BA117" s="1686">
        <v>29.095744530899363</v>
      </c>
      <c r="BB117" s="1686">
        <v>29.095499605988561</v>
      </c>
      <c r="BC117" s="1686">
        <v>29.095254681077758</v>
      </c>
      <c r="BD117" s="1686">
        <v>28.845149361387886</v>
      </c>
      <c r="BE117" s="1686">
        <v>28.595044041698017</v>
      </c>
      <c r="BF117" s="1686">
        <v>28.344938722008141</v>
      </c>
      <c r="BG117" s="1686">
        <v>28.094833402318269</v>
      </c>
      <c r="BH117" s="1686">
        <v>27.8447280826284</v>
      </c>
      <c r="BI117" s="1686">
        <v>27.594622762938524</v>
      </c>
      <c r="BJ117" s="1686">
        <v>27.344517443248655</v>
      </c>
      <c r="BK117" s="1686">
        <v>27.094412123558783</v>
      </c>
      <c r="BL117" s="1686">
        <v>27.636649585203831</v>
      </c>
      <c r="BM117" s="1686">
        <v>28.178887046848878</v>
      </c>
      <c r="BN117" s="1686">
        <v>27.928781727159006</v>
      </c>
      <c r="BO117" s="1686">
        <v>27.678676407469133</v>
      </c>
      <c r="BP117" s="1686">
        <v>27.428571087779261</v>
      </c>
      <c r="BQ117" s="1686">
        <v>27.178465768089392</v>
      </c>
      <c r="BR117" s="1686">
        <v>26.928360448399516</v>
      </c>
      <c r="BS117" s="1686">
        <v>26.678255128709647</v>
      </c>
      <c r="BT117" s="1686">
        <v>26.428149809019775</v>
      </c>
      <c r="BU117" s="1686">
        <v>26.178044489329903</v>
      </c>
      <c r="BV117" s="1686">
        <v>26.911776082343788</v>
      </c>
      <c r="BW117" s="1686">
        <v>27.645507675357674</v>
      </c>
      <c r="BX117" s="1686">
        <v>27.395402355667798</v>
      </c>
      <c r="BY117" s="1686">
        <v>27.145297035977929</v>
      </c>
      <c r="BZ117" s="1686">
        <v>26.895191716288057</v>
      </c>
      <c r="CA117" s="1686">
        <v>26.645086396598188</v>
      </c>
      <c r="CB117" s="1686">
        <v>26.394981076908312</v>
      </c>
      <c r="CC117" s="1686">
        <v>26.144875757218443</v>
      </c>
      <c r="CD117" s="1686">
        <v>25.894770437528571</v>
      </c>
      <c r="CE117" s="1686">
        <v>25.644665117838695</v>
      </c>
      <c r="CF117" s="1686">
        <v>26.986356512472927</v>
      </c>
      <c r="CG117" s="1686">
        <v>28.328047907107155</v>
      </c>
      <c r="CH117" s="1686">
        <v>28.077942587417283</v>
      </c>
      <c r="CI117" s="1686">
        <v>27.827837267727411</v>
      </c>
      <c r="CJ117" s="1686">
        <v>27.577731948037535</v>
      </c>
      <c r="CK117" s="1686">
        <v>27.327626628347662</v>
      </c>
      <c r="CL117" s="1686">
        <v>27.07752130865779</v>
      </c>
      <c r="CM117" s="1686">
        <v>26.827415988967918</v>
      </c>
      <c r="CN117" s="1686">
        <v>26.577310669278049</v>
      </c>
      <c r="CO117" s="1686">
        <v>26.327205349588173</v>
      </c>
      <c r="CP117" s="1687">
        <v>26.110065028946906</v>
      </c>
    </row>
    <row r="118" spans="2:94" ht="30" customHeight="1" x14ac:dyDescent="0.3">
      <c r="B118" s="1729"/>
      <c r="C118" s="1286" t="str">
        <f t="shared" si="0"/>
        <v>FND29</v>
      </c>
      <c r="D118" s="1446" t="s">
        <v>2205</v>
      </c>
      <c r="E118" s="1260" t="s">
        <v>1320</v>
      </c>
      <c r="F118" s="1287"/>
      <c r="G118" s="1287"/>
      <c r="H118" s="1264" t="s">
        <v>1318</v>
      </c>
      <c r="I118" s="1261"/>
      <c r="J118" s="1259"/>
      <c r="K118" s="1259"/>
      <c r="L118" s="1259"/>
      <c r="M118" s="1259"/>
      <c r="N118" s="1426"/>
      <c r="O118" s="1686">
        <v>3.5000000000000003E-2</v>
      </c>
      <c r="P118" s="1686">
        <v>3.5000000000000003E-2</v>
      </c>
      <c r="Q118" s="1686">
        <v>3.5000000000000003E-2</v>
      </c>
      <c r="R118" s="1686">
        <v>3.5000000000000003E-2</v>
      </c>
      <c r="S118" s="1686">
        <v>3.5000000000000003E-2</v>
      </c>
      <c r="T118" s="1686">
        <v>3.5000000000000003E-2</v>
      </c>
      <c r="U118" s="1686">
        <v>3.5000000000000003E-2</v>
      </c>
      <c r="V118" s="1686">
        <v>3.5000000000000003E-2</v>
      </c>
      <c r="W118" s="1686">
        <v>3.5000000000000003E-2</v>
      </c>
      <c r="X118" s="1686">
        <v>3.5000000000000003E-2</v>
      </c>
      <c r="Y118" s="1686">
        <v>3.5000000000000003E-2</v>
      </c>
      <c r="Z118" s="1686">
        <v>3.5000000000000003E-2</v>
      </c>
      <c r="AA118" s="1686">
        <v>3.5000000000000003E-2</v>
      </c>
      <c r="AB118" s="1686">
        <v>3.5000000000000003E-2</v>
      </c>
      <c r="AC118" s="1686">
        <v>3.5000000000000003E-2</v>
      </c>
      <c r="AD118" s="1686">
        <v>3.5000000000000003E-2</v>
      </c>
      <c r="AE118" s="1686">
        <v>3.5000000000000003E-2</v>
      </c>
      <c r="AF118" s="1686">
        <v>3.5000000000000003E-2</v>
      </c>
      <c r="AG118" s="1686">
        <v>3.5000000000000003E-2</v>
      </c>
      <c r="AH118" s="1686">
        <v>3.5000000000000003E-2</v>
      </c>
      <c r="AI118" s="1686">
        <v>3.5000000000000003E-2</v>
      </c>
      <c r="AJ118" s="1686">
        <v>3.5000000000000003E-2</v>
      </c>
      <c r="AK118" s="1686">
        <v>3.5000000000000003E-2</v>
      </c>
      <c r="AL118" s="1686">
        <v>3.5000000000000003E-2</v>
      </c>
      <c r="AM118" s="1686">
        <v>3.5000000000000003E-2</v>
      </c>
      <c r="AN118" s="1686">
        <v>3.5000000000000003E-2</v>
      </c>
      <c r="AO118" s="1686">
        <v>3.5000000000000003E-2</v>
      </c>
      <c r="AP118" s="1686">
        <v>3.5000000000000003E-2</v>
      </c>
      <c r="AQ118" s="1686">
        <v>3.5000000000000003E-2</v>
      </c>
      <c r="AR118" s="1686">
        <v>3.5000000000000003E-2</v>
      </c>
      <c r="AS118" s="1686">
        <v>0.03</v>
      </c>
      <c r="AT118" s="1686">
        <v>0.03</v>
      </c>
      <c r="AU118" s="1686">
        <v>0.03</v>
      </c>
      <c r="AV118" s="1686">
        <v>0.03</v>
      </c>
      <c r="AW118" s="1686">
        <v>0.03</v>
      </c>
      <c r="AX118" s="1686">
        <v>0.03</v>
      </c>
      <c r="AY118" s="1686">
        <v>0.03</v>
      </c>
      <c r="AZ118" s="1686">
        <v>0.03</v>
      </c>
      <c r="BA118" s="1686">
        <v>0.03</v>
      </c>
      <c r="BB118" s="1686">
        <v>0.03</v>
      </c>
      <c r="BC118" s="1686">
        <v>0.03</v>
      </c>
      <c r="BD118" s="1686">
        <v>0.03</v>
      </c>
      <c r="BE118" s="1686">
        <v>0.03</v>
      </c>
      <c r="BF118" s="1686">
        <v>0.03</v>
      </c>
      <c r="BG118" s="1686">
        <v>0.03</v>
      </c>
      <c r="BH118" s="1686">
        <v>0.03</v>
      </c>
      <c r="BI118" s="1686">
        <v>0.03</v>
      </c>
      <c r="BJ118" s="1686">
        <v>0.03</v>
      </c>
      <c r="BK118" s="1686">
        <v>0.03</v>
      </c>
      <c r="BL118" s="1686">
        <v>0.03</v>
      </c>
      <c r="BM118" s="1686">
        <v>0.03</v>
      </c>
      <c r="BN118" s="1686">
        <v>0.03</v>
      </c>
      <c r="BO118" s="1686">
        <v>0.03</v>
      </c>
      <c r="BP118" s="1686">
        <v>0.03</v>
      </c>
      <c r="BQ118" s="1686">
        <v>0.03</v>
      </c>
      <c r="BR118" s="1686">
        <v>0.03</v>
      </c>
      <c r="BS118" s="1686">
        <v>0.03</v>
      </c>
      <c r="BT118" s="1686">
        <v>0.03</v>
      </c>
      <c r="BU118" s="1686">
        <v>0.03</v>
      </c>
      <c r="BV118" s="1686">
        <v>0.03</v>
      </c>
      <c r="BW118" s="1686">
        <v>0.03</v>
      </c>
      <c r="BX118" s="1686">
        <v>0.03</v>
      </c>
      <c r="BY118" s="1686">
        <v>0.03</v>
      </c>
      <c r="BZ118" s="1686">
        <v>0.03</v>
      </c>
      <c r="CA118" s="1686">
        <v>0.03</v>
      </c>
      <c r="CB118" s="1686">
        <v>0.03</v>
      </c>
      <c r="CC118" s="1686">
        <v>0.03</v>
      </c>
      <c r="CD118" s="1686">
        <v>0.03</v>
      </c>
      <c r="CE118" s="1686">
        <v>0.03</v>
      </c>
      <c r="CF118" s="1686">
        <v>0.03</v>
      </c>
      <c r="CG118" s="1686">
        <v>0.03</v>
      </c>
      <c r="CH118" s="1686">
        <v>0.03</v>
      </c>
      <c r="CI118" s="1686">
        <v>0.03</v>
      </c>
      <c r="CJ118" s="1686">
        <v>0.03</v>
      </c>
      <c r="CK118" s="1686">
        <v>0.03</v>
      </c>
      <c r="CL118" s="1686">
        <v>2.5000000000000001E-2</v>
      </c>
      <c r="CM118" s="1686">
        <v>2.5000000000000001E-2</v>
      </c>
      <c r="CN118" s="1686">
        <v>2.5000000000000001E-2</v>
      </c>
      <c r="CO118" s="1686">
        <v>2.5000000000000001E-2</v>
      </c>
      <c r="CP118" s="1687">
        <v>2.5000000000000001E-2</v>
      </c>
    </row>
    <row r="119" spans="2:94" ht="15.5" x14ac:dyDescent="0.3">
      <c r="B119" s="1729"/>
      <c r="C119" s="1286" t="str">
        <f t="shared" si="0"/>
        <v>FND29</v>
      </c>
      <c r="D119" s="1446" t="s">
        <v>2205</v>
      </c>
      <c r="E119" s="1260" t="s">
        <v>1321</v>
      </c>
      <c r="F119" s="1287"/>
      <c r="G119" s="1287"/>
      <c r="H119" s="1264" t="s">
        <v>1318</v>
      </c>
      <c r="I119" s="1261"/>
      <c r="J119" s="1259"/>
      <c r="K119" s="1259"/>
      <c r="L119" s="1259"/>
      <c r="M119" s="1259"/>
      <c r="N119" s="1426"/>
      <c r="O119" s="1686">
        <v>0.96618357487922713</v>
      </c>
      <c r="P119" s="1686">
        <v>0.93351070036640305</v>
      </c>
      <c r="Q119" s="1686">
        <v>0.90194270566802237</v>
      </c>
      <c r="R119" s="1686">
        <v>0.87144222769857238</v>
      </c>
      <c r="S119" s="1686">
        <v>0.84197316685852408</v>
      </c>
      <c r="T119" s="1686">
        <v>0.81350064430775282</v>
      </c>
      <c r="U119" s="1686">
        <v>0.78599096068381924</v>
      </c>
      <c r="V119" s="1686">
        <v>0.75941155621625056</v>
      </c>
      <c r="W119" s="1686">
        <v>0.73373097218961414</v>
      </c>
      <c r="X119" s="1686">
        <v>0.70891881370977217</v>
      </c>
      <c r="Y119" s="1686">
        <v>0.68494571372924851</v>
      </c>
      <c r="Z119" s="1686">
        <v>0.66178329828912907</v>
      </c>
      <c r="AA119" s="1686">
        <v>0.63940415293635666</v>
      </c>
      <c r="AB119" s="1686">
        <v>0.61778179027667313</v>
      </c>
      <c r="AC119" s="1686">
        <v>0.59689061862480497</v>
      </c>
      <c r="AD119" s="1686">
        <v>0.57670591171478747</v>
      </c>
      <c r="AE119" s="1686">
        <v>0.55720377943457733</v>
      </c>
      <c r="AF119" s="1686">
        <v>0.53836113955031628</v>
      </c>
      <c r="AG119" s="1686">
        <v>0.520155690386779</v>
      </c>
      <c r="AH119" s="1686">
        <v>0.50256588443167061</v>
      </c>
      <c r="AI119" s="1686">
        <v>0.48557090283253201</v>
      </c>
      <c r="AJ119" s="1686">
        <v>0.46915063075606961</v>
      </c>
      <c r="AK119" s="1686">
        <v>0.45328563358074364</v>
      </c>
      <c r="AL119" s="1686">
        <v>0.43795713389443836</v>
      </c>
      <c r="AM119" s="1686">
        <v>0.42314698926998878</v>
      </c>
      <c r="AN119" s="1686">
        <v>0.40883767079225974</v>
      </c>
      <c r="AO119" s="1686">
        <v>0.39501224231136212</v>
      </c>
      <c r="AP119" s="1686">
        <v>0.38165434039745133</v>
      </c>
      <c r="AQ119" s="1686">
        <v>0.36874815497338298</v>
      </c>
      <c r="AR119" s="1686">
        <v>0.35627841060230242</v>
      </c>
      <c r="AS119" s="1686">
        <v>0.34590136951679845</v>
      </c>
      <c r="AT119" s="1686">
        <v>0.33582657234640628</v>
      </c>
      <c r="AU119" s="1686">
        <v>0.32604521587029733</v>
      </c>
      <c r="AV119" s="1686">
        <v>0.31654875327213333</v>
      </c>
      <c r="AW119" s="1686">
        <v>0.30732888667197411</v>
      </c>
      <c r="AX119" s="1686">
        <v>0.29837755987570302</v>
      </c>
      <c r="AY119" s="1686">
        <v>0.28968695133563399</v>
      </c>
      <c r="AZ119" s="1686">
        <v>0.28124946731614953</v>
      </c>
      <c r="BA119" s="1686">
        <v>0.2730577352583976</v>
      </c>
      <c r="BB119" s="1686">
        <v>0.26510459733825009</v>
      </c>
      <c r="BC119" s="1686">
        <v>0.25738310421189331</v>
      </c>
      <c r="BD119" s="1686">
        <v>0.24988650894358574</v>
      </c>
      <c r="BE119" s="1686">
        <v>0.24260826111027742</v>
      </c>
      <c r="BF119" s="1686">
        <v>0.23554200107793924</v>
      </c>
      <c r="BG119" s="1686">
        <v>0.2286815544446012</v>
      </c>
      <c r="BH119" s="1686">
        <v>0.22202092664524387</v>
      </c>
      <c r="BI119" s="1686">
        <v>0.215554297713829</v>
      </c>
      <c r="BJ119" s="1686">
        <v>0.20927601719789224</v>
      </c>
      <c r="BK119" s="1686">
        <v>0.20318059922125459</v>
      </c>
      <c r="BL119" s="1686">
        <v>0.19726271769053844</v>
      </c>
      <c r="BM119" s="1686">
        <v>0.19151720164129946</v>
      </c>
      <c r="BN119" s="1686">
        <v>0.18593903071970821</v>
      </c>
      <c r="BO119" s="1686">
        <v>0.18052333079583321</v>
      </c>
      <c r="BP119" s="1686">
        <v>0.17526536970469245</v>
      </c>
      <c r="BQ119" s="1686">
        <v>0.17016055311135189</v>
      </c>
      <c r="BR119" s="1686">
        <v>0.16520442049645814</v>
      </c>
      <c r="BS119" s="1686">
        <v>0.16039264125869723</v>
      </c>
      <c r="BT119" s="1686">
        <v>0.15572101093077401</v>
      </c>
      <c r="BU119" s="1686">
        <v>0.15118544750560584</v>
      </c>
      <c r="BV119" s="1686">
        <v>0.14678198786952024</v>
      </c>
      <c r="BW119" s="1686">
        <v>0.14250678433934003</v>
      </c>
      <c r="BX119" s="1686">
        <v>0.13835610130033013</v>
      </c>
      <c r="BY119" s="1686">
        <v>0.13432631194206809</v>
      </c>
      <c r="BZ119" s="1686">
        <v>0.1304138950893865</v>
      </c>
      <c r="CA119" s="1686">
        <v>0.12661543212561796</v>
      </c>
      <c r="CB119" s="1686">
        <v>0.12292760400545433</v>
      </c>
      <c r="CC119" s="1686">
        <v>0.11934718835481002</v>
      </c>
      <c r="CD119" s="1686">
        <v>0.11587105665515536</v>
      </c>
      <c r="CE119" s="1686">
        <v>0.11249617150985958</v>
      </c>
      <c r="CF119" s="1686">
        <v>0.10921958399015493</v>
      </c>
      <c r="CG119" s="1686">
        <v>0.10603843105840284</v>
      </c>
      <c r="CH119" s="1686">
        <v>0.10294993306641052</v>
      </c>
      <c r="CI119" s="1686">
        <v>9.9951391326612155E-2</v>
      </c>
      <c r="CJ119" s="1686">
        <v>9.7040185753992383E-2</v>
      </c>
      <c r="CK119" s="1686">
        <v>9.4213772576691626E-2</v>
      </c>
      <c r="CL119" s="1686">
        <v>9.1915875684577208E-2</v>
      </c>
      <c r="CM119" s="1686">
        <v>8.9674025058124107E-2</v>
      </c>
      <c r="CN119" s="1686">
        <v>8.7486853715243035E-2</v>
      </c>
      <c r="CO119" s="1686">
        <v>8.5353028014871254E-2</v>
      </c>
      <c r="CP119" s="1687">
        <v>8.3271246843776847E-2</v>
      </c>
    </row>
    <row r="120" spans="2:94" ht="15.5" x14ac:dyDescent="0.3">
      <c r="B120" s="1729"/>
      <c r="C120" s="1286" t="str">
        <f t="shared" si="0"/>
        <v>FND29</v>
      </c>
      <c r="D120" s="1446" t="s">
        <v>2205</v>
      </c>
      <c r="E120" s="1260" t="s">
        <v>1322</v>
      </c>
      <c r="F120" s="1260" t="s">
        <v>1330</v>
      </c>
      <c r="G120" s="1260"/>
      <c r="H120" s="1260" t="s">
        <v>1324</v>
      </c>
      <c r="I120" s="1261"/>
      <c r="J120" s="1259"/>
      <c r="K120" s="1259"/>
      <c r="L120" s="1259"/>
      <c r="M120" s="1259"/>
      <c r="N120" s="1426"/>
      <c r="O120" s="1686">
        <v>0</v>
      </c>
      <c r="P120" s="1686">
        <v>0</v>
      </c>
      <c r="Q120" s="1686">
        <v>0</v>
      </c>
      <c r="R120" s="1686">
        <v>0</v>
      </c>
      <c r="S120" s="1686">
        <v>6.0175054429091368</v>
      </c>
      <c r="T120" s="1686">
        <v>6.0175054429091368</v>
      </c>
      <c r="U120" s="1686">
        <v>18.052516328727407</v>
      </c>
      <c r="V120" s="1686">
        <v>36.105032657454814</v>
      </c>
      <c r="W120" s="1686">
        <v>36.105032657454814</v>
      </c>
      <c r="X120" s="1686">
        <v>18.052516328727407</v>
      </c>
      <c r="Y120" s="1686">
        <v>0</v>
      </c>
      <c r="Z120" s="1686">
        <v>0</v>
      </c>
      <c r="AA120" s="1686">
        <v>0</v>
      </c>
      <c r="AB120" s="1686">
        <v>0</v>
      </c>
      <c r="AC120" s="1686">
        <v>0</v>
      </c>
      <c r="AD120" s="1686">
        <v>0</v>
      </c>
      <c r="AE120" s="1686">
        <v>0</v>
      </c>
      <c r="AF120" s="1686">
        <v>0</v>
      </c>
      <c r="AG120" s="1686">
        <v>0</v>
      </c>
      <c r="AH120" s="1686">
        <v>0</v>
      </c>
      <c r="AI120" s="1686">
        <v>0</v>
      </c>
      <c r="AJ120" s="1686">
        <v>0</v>
      </c>
      <c r="AK120" s="1686">
        <v>0</v>
      </c>
      <c r="AL120" s="1686">
        <v>0</v>
      </c>
      <c r="AM120" s="1686">
        <v>0</v>
      </c>
      <c r="AN120" s="1686">
        <v>0</v>
      </c>
      <c r="AO120" s="1686">
        <v>0</v>
      </c>
      <c r="AP120" s="1686">
        <v>0</v>
      </c>
      <c r="AQ120" s="1686">
        <v>0</v>
      </c>
      <c r="AR120" s="1686">
        <v>0</v>
      </c>
      <c r="AS120" s="1686">
        <v>0</v>
      </c>
      <c r="AT120" s="1686">
        <v>0</v>
      </c>
      <c r="AU120" s="1686">
        <v>0</v>
      </c>
      <c r="AV120" s="1686">
        <v>0</v>
      </c>
      <c r="AW120" s="1686">
        <v>0</v>
      </c>
      <c r="AX120" s="1686">
        <v>0</v>
      </c>
      <c r="AY120" s="1686">
        <v>0</v>
      </c>
      <c r="AZ120" s="1686">
        <v>0</v>
      </c>
      <c r="BA120" s="1686">
        <v>0</v>
      </c>
      <c r="BB120" s="1686">
        <v>0</v>
      </c>
      <c r="BC120" s="1686">
        <v>0</v>
      </c>
      <c r="BD120" s="1686">
        <v>0</v>
      </c>
      <c r="BE120" s="1686">
        <v>0</v>
      </c>
      <c r="BF120" s="1686">
        <v>0</v>
      </c>
      <c r="BG120" s="1686">
        <v>0</v>
      </c>
      <c r="BH120" s="1686">
        <v>0</v>
      </c>
      <c r="BI120" s="1686">
        <v>0</v>
      </c>
      <c r="BJ120" s="1686">
        <v>0</v>
      </c>
      <c r="BK120" s="1686">
        <v>0</v>
      </c>
      <c r="BL120" s="1686">
        <v>0</v>
      </c>
      <c r="BM120" s="1686">
        <v>0</v>
      </c>
      <c r="BN120" s="1686">
        <v>0</v>
      </c>
      <c r="BO120" s="1686">
        <v>0</v>
      </c>
      <c r="BP120" s="1686">
        <v>0</v>
      </c>
      <c r="BQ120" s="1686">
        <v>0</v>
      </c>
      <c r="BR120" s="1686">
        <v>0</v>
      </c>
      <c r="BS120" s="1686">
        <v>0</v>
      </c>
      <c r="BT120" s="1686">
        <v>0</v>
      </c>
      <c r="BU120" s="1686">
        <v>0</v>
      </c>
      <c r="BV120" s="1686">
        <v>0</v>
      </c>
      <c r="BW120" s="1686">
        <v>0</v>
      </c>
      <c r="BX120" s="1686">
        <v>0</v>
      </c>
      <c r="BY120" s="1686">
        <v>0</v>
      </c>
      <c r="BZ120" s="1686">
        <v>0</v>
      </c>
      <c r="CA120" s="1686">
        <v>0</v>
      </c>
      <c r="CB120" s="1686">
        <v>0</v>
      </c>
      <c r="CC120" s="1686">
        <v>0</v>
      </c>
      <c r="CD120" s="1686">
        <v>0</v>
      </c>
      <c r="CE120" s="1686">
        <v>0</v>
      </c>
      <c r="CF120" s="1686">
        <v>0</v>
      </c>
      <c r="CG120" s="1686">
        <v>0</v>
      </c>
      <c r="CH120" s="1686">
        <v>0</v>
      </c>
      <c r="CI120" s="1686">
        <v>0</v>
      </c>
      <c r="CJ120" s="1686">
        <v>0</v>
      </c>
      <c r="CK120" s="1686">
        <v>0</v>
      </c>
      <c r="CL120" s="1686">
        <v>0</v>
      </c>
      <c r="CM120" s="1686">
        <v>0</v>
      </c>
      <c r="CN120" s="1686">
        <v>0</v>
      </c>
      <c r="CO120" s="1686">
        <v>0</v>
      </c>
      <c r="CP120" s="1687">
        <v>0</v>
      </c>
    </row>
    <row r="121" spans="2:94" ht="15.5" x14ac:dyDescent="0.3">
      <c r="B121" s="1729"/>
      <c r="C121" s="1286" t="str">
        <f t="shared" si="0"/>
        <v>FND29</v>
      </c>
      <c r="D121" s="1446" t="s">
        <v>2205</v>
      </c>
      <c r="E121" s="1264" t="s">
        <v>1322</v>
      </c>
      <c r="F121" s="1260" t="s">
        <v>1325</v>
      </c>
      <c r="G121" s="1260"/>
      <c r="H121" s="1285" t="s">
        <v>1324</v>
      </c>
      <c r="I121" s="1284"/>
      <c r="J121" s="1259"/>
      <c r="K121" s="1259"/>
      <c r="L121" s="1259"/>
      <c r="M121" s="1259"/>
      <c r="N121" s="1426"/>
      <c r="O121" s="1686">
        <v>16.296046310845153</v>
      </c>
      <c r="P121" s="1686">
        <v>16.296046310845153</v>
      </c>
      <c r="Q121" s="1686">
        <v>16.296046310845153</v>
      </c>
      <c r="R121" s="1686">
        <v>16.296046310845153</v>
      </c>
      <c r="S121" s="1686">
        <v>6.7135721717346986</v>
      </c>
      <c r="T121" s="1686">
        <v>6.7135721717346986</v>
      </c>
      <c r="U121" s="1686">
        <v>20.140716515204094</v>
      </c>
      <c r="V121" s="1686">
        <v>40.281433030408188</v>
      </c>
      <c r="W121" s="1686">
        <v>40.281433030408188</v>
      </c>
      <c r="X121" s="1686">
        <v>20.140716515204094</v>
      </c>
      <c r="Y121" s="1686">
        <v>0</v>
      </c>
      <c r="Z121" s="1686">
        <v>0</v>
      </c>
      <c r="AA121" s="1686">
        <v>0</v>
      </c>
      <c r="AB121" s="1686">
        <v>0</v>
      </c>
      <c r="AC121" s="1686">
        <v>0</v>
      </c>
      <c r="AD121" s="1686">
        <v>0</v>
      </c>
      <c r="AE121" s="1686">
        <v>0</v>
      </c>
      <c r="AF121" s="1686">
        <v>0</v>
      </c>
      <c r="AG121" s="1686">
        <v>0</v>
      </c>
      <c r="AH121" s="1686">
        <v>0.61435018977301359</v>
      </c>
      <c r="AI121" s="1686">
        <v>0</v>
      </c>
      <c r="AJ121" s="1686">
        <v>0</v>
      </c>
      <c r="AK121" s="1686">
        <v>0</v>
      </c>
      <c r="AL121" s="1686">
        <v>0</v>
      </c>
      <c r="AM121" s="1686">
        <v>0</v>
      </c>
      <c r="AN121" s="1686">
        <v>0</v>
      </c>
      <c r="AO121" s="1686">
        <v>0</v>
      </c>
      <c r="AP121" s="1686">
        <v>0</v>
      </c>
      <c r="AQ121" s="1686">
        <v>0</v>
      </c>
      <c r="AR121" s="1686">
        <v>13.996711013568238</v>
      </c>
      <c r="AS121" s="1686">
        <v>0</v>
      </c>
      <c r="AT121" s="1686">
        <v>0</v>
      </c>
      <c r="AU121" s="1686">
        <v>0</v>
      </c>
      <c r="AV121" s="1686">
        <v>0</v>
      </c>
      <c r="AW121" s="1686">
        <v>10.914937463152203</v>
      </c>
      <c r="AX121" s="1686">
        <v>0</v>
      </c>
      <c r="AY121" s="1686">
        <v>0</v>
      </c>
      <c r="AZ121" s="1686">
        <v>0</v>
      </c>
      <c r="BA121" s="1686">
        <v>0</v>
      </c>
      <c r="BB121" s="1686">
        <v>4.6565079745020777</v>
      </c>
      <c r="BC121" s="1686">
        <v>0</v>
      </c>
      <c r="BD121" s="1686">
        <v>0</v>
      </c>
      <c r="BE121" s="1686">
        <v>0</v>
      </c>
      <c r="BF121" s="1686">
        <v>0</v>
      </c>
      <c r="BG121" s="1686">
        <v>0</v>
      </c>
      <c r="BH121" s="1686">
        <v>0</v>
      </c>
      <c r="BI121" s="1686">
        <v>0</v>
      </c>
      <c r="BJ121" s="1686">
        <v>0</v>
      </c>
      <c r="BK121" s="1686">
        <v>0</v>
      </c>
      <c r="BL121" s="1686">
        <v>14.766447812137596</v>
      </c>
      <c r="BM121" s="1686">
        <v>0</v>
      </c>
      <c r="BN121" s="1686">
        <v>0</v>
      </c>
      <c r="BO121" s="1686">
        <v>0</v>
      </c>
      <c r="BP121" s="1686">
        <v>0</v>
      </c>
      <c r="BQ121" s="1686">
        <v>0</v>
      </c>
      <c r="BR121" s="1686">
        <v>0</v>
      </c>
      <c r="BS121" s="1686">
        <v>0</v>
      </c>
      <c r="BT121" s="1686">
        <v>0</v>
      </c>
      <c r="BU121" s="1686">
        <v>0</v>
      </c>
      <c r="BV121" s="1686">
        <v>18.335216486251696</v>
      </c>
      <c r="BW121" s="1686">
        <v>0</v>
      </c>
      <c r="BX121" s="1686">
        <v>0</v>
      </c>
      <c r="BY121" s="1686">
        <v>0</v>
      </c>
      <c r="BZ121" s="1686">
        <v>0</v>
      </c>
      <c r="CA121" s="1686">
        <v>0</v>
      </c>
      <c r="CB121" s="1686">
        <v>0</v>
      </c>
      <c r="CC121" s="1686">
        <v>0</v>
      </c>
      <c r="CD121" s="1686">
        <v>0</v>
      </c>
      <c r="CE121" s="1686">
        <v>0</v>
      </c>
      <c r="CF121" s="1686">
        <v>29.665422167408316</v>
      </c>
      <c r="CG121" s="1686">
        <v>0</v>
      </c>
      <c r="CH121" s="1686">
        <v>0</v>
      </c>
      <c r="CI121" s="1686">
        <v>0</v>
      </c>
      <c r="CJ121" s="1686">
        <v>0</v>
      </c>
      <c r="CK121" s="1686">
        <v>0</v>
      </c>
      <c r="CL121" s="1686">
        <v>0</v>
      </c>
      <c r="CM121" s="1686">
        <v>0</v>
      </c>
      <c r="CN121" s="1686">
        <v>0</v>
      </c>
      <c r="CO121" s="1686">
        <v>0</v>
      </c>
      <c r="CP121" s="1687">
        <v>0.61435018977301359</v>
      </c>
    </row>
    <row r="122" spans="2:94" s="1278" customFormat="1" ht="28.5" thickBot="1" x14ac:dyDescent="0.35">
      <c r="B122" s="1729"/>
      <c r="C122" s="1281" t="str">
        <f t="shared" si="0"/>
        <v>FND29</v>
      </c>
      <c r="D122" s="1446" t="s">
        <v>2205</v>
      </c>
      <c r="E122" s="1280" t="s">
        <v>1326</v>
      </c>
      <c r="F122" s="1279"/>
      <c r="G122" s="1279"/>
      <c r="H122" s="1279" t="s">
        <v>163</v>
      </c>
      <c r="I122" s="1283"/>
      <c r="J122" s="1282"/>
      <c r="K122" s="1282"/>
      <c r="L122" s="1282"/>
      <c r="M122" s="1282"/>
      <c r="N122" s="1434" t="str">
        <f>IF((N116+N117)*N119&lt;&gt;0,(N116+N117)*N119,"")</f>
        <v/>
      </c>
      <c r="O122" s="1691">
        <v>0.84484876037161183</v>
      </c>
      <c r="P122" s="1691">
        <v>2.4488369865843822</v>
      </c>
      <c r="Q122" s="1691">
        <v>3.9433767899909546</v>
      </c>
      <c r="R122" s="1691">
        <v>5.3340362376689239</v>
      </c>
      <c r="S122" s="1691">
        <v>6.2671787016488416</v>
      </c>
      <c r="T122" s="1691">
        <v>6.7842955865127434</v>
      </c>
      <c r="U122" s="1691">
        <v>7.9636681302475054</v>
      </c>
      <c r="V122" s="1691">
        <v>10.756959185480525</v>
      </c>
      <c r="W122" s="1691">
        <v>14.338567769863593</v>
      </c>
      <c r="X122" s="1691">
        <v>16.712652789147974</v>
      </c>
      <c r="Y122" s="1691">
        <v>24.569840278196263</v>
      </c>
      <c r="Z122" s="1691">
        <v>23.573460590815269</v>
      </c>
      <c r="AA122" s="1691">
        <v>22.616372045827294</v>
      </c>
      <c r="AB122" s="1691">
        <v>21.697056681880305</v>
      </c>
      <c r="AC122" s="1691">
        <v>20.814054270265292</v>
      </c>
      <c r="AD122" s="1691">
        <v>19.965960146158697</v>
      </c>
      <c r="AE122" s="1691">
        <v>19.151423120523901</v>
      </c>
      <c r="AF122" s="1691">
        <v>18.369143469696628</v>
      </c>
      <c r="AG122" s="1691">
        <v>17.617870999788206</v>
      </c>
      <c r="AH122" s="1691">
        <v>16.912970267047573</v>
      </c>
      <c r="AI122" s="1691">
        <v>16.235597052906979</v>
      </c>
      <c r="AJ122" s="1691">
        <v>15.569230132388359</v>
      </c>
      <c r="AK122" s="1691">
        <v>14.929365279130826</v>
      </c>
      <c r="AL122" s="1691">
        <v>14.314972107085307</v>
      </c>
      <c r="AM122" s="1691">
        <v>13.725059611692924</v>
      </c>
      <c r="AN122" s="1691">
        <v>13.158674684701209</v>
      </c>
      <c r="AO122" s="1691">
        <v>12.614900684392705</v>
      </c>
      <c r="AP122" s="1691">
        <v>12.092856059176819</v>
      </c>
      <c r="AQ122" s="1691">
        <v>11.591693022570714</v>
      </c>
      <c r="AR122" s="1691">
        <v>11.378175614423398</v>
      </c>
      <c r="AS122" s="1691">
        <v>11.220046432424105</v>
      </c>
      <c r="AT122" s="1691">
        <v>10.809256951281498</v>
      </c>
      <c r="AU122" s="1691">
        <v>10.41287858159655</v>
      </c>
      <c r="AV122" s="1691">
        <v>10.030420328784421</v>
      </c>
      <c r="AW122" s="1691">
        <v>9.8414030983048679</v>
      </c>
      <c r="AX122" s="1691">
        <v>9.6548874104285076</v>
      </c>
      <c r="AY122" s="1691">
        <v>9.3012248499296248</v>
      </c>
      <c r="AZ122" s="1691">
        <v>8.9599734003454774</v>
      </c>
      <c r="BA122" s="1691">
        <v>8.6307101091356948</v>
      </c>
      <c r="BB122" s="1691">
        <v>8.3792652723245062</v>
      </c>
      <c r="BC122" s="1691">
        <v>8.1351459627229623</v>
      </c>
      <c r="BD122" s="1691">
        <v>7.8357020186031789</v>
      </c>
      <c r="BE122" s="1691">
        <v>7.5468000712598622</v>
      </c>
      <c r="BF122" s="1691">
        <v>7.2680800529664777</v>
      </c>
      <c r="BG122" s="1691">
        <v>6.9991939276567834</v>
      </c>
      <c r="BH122" s="1691">
        <v>6.7398052955099415</v>
      </c>
      <c r="BI122" s="1691">
        <v>6.4895890103626117</v>
      </c>
      <c r="BJ122" s="1691">
        <v>6.2482308095362811</v>
      </c>
      <c r="BK122" s="1691">
        <v>6.0154269556811446</v>
      </c>
      <c r="BL122" s="1691">
        <v>5.947183580639221</v>
      </c>
      <c r="BM122" s="1691">
        <v>5.8778124426766425</v>
      </c>
      <c r="BN122" s="1691">
        <v>5.6601096812951806</v>
      </c>
      <c r="BO122" s="1691">
        <v>5.4501022724021384</v>
      </c>
      <c r="BP122" s="1691">
        <v>5.2475266281960842</v>
      </c>
      <c r="BQ122" s="1691">
        <v>5.0521279872577951</v>
      </c>
      <c r="BR122" s="1691">
        <v>4.8636601240031787</v>
      </c>
      <c r="BS122" s="1691">
        <v>4.6818850675735266</v>
      </c>
      <c r="BT122" s="1691">
        <v>4.5065728298598229</v>
      </c>
      <c r="BU122" s="1691">
        <v>4.3375011423675254</v>
      </c>
      <c r="BV122" s="1691">
        <v>4.3188647394236224</v>
      </c>
      <c r="BW122" s="1691">
        <v>4.297634292435796</v>
      </c>
      <c r="BX122" s="1691">
        <v>4.1378568811462424</v>
      </c>
      <c r="BY122" s="1691">
        <v>3.9837410526208541</v>
      </c>
      <c r="BZ122" s="1691">
        <v>3.8350925509027394</v>
      </c>
      <c r="CA122" s="1691">
        <v>3.6917236329897158</v>
      </c>
      <c r="CB122" s="1691">
        <v>3.5534528542332682</v>
      </c>
      <c r="CC122" s="1691">
        <v>3.4201048607133733</v>
      </c>
      <c r="CD122" s="1691">
        <v>3.2915101883648603</v>
      </c>
      <c r="CE122" s="1691">
        <v>3.1675050686381736</v>
      </c>
      <c r="CF122" s="1691">
        <v>3.2217866154196591</v>
      </c>
      <c r="CG122" s="1691">
        <v>3.2702190207619228</v>
      </c>
      <c r="CH122" s="1691">
        <v>3.1492215971482023</v>
      </c>
      <c r="CI122" s="1691">
        <v>3.0324983215792005</v>
      </c>
      <c r="CJ122" s="1691">
        <v>2.9199028610660296</v>
      </c>
      <c r="CK122" s="1691">
        <v>2.8112937809565652</v>
      </c>
      <c r="CL122" s="1691">
        <v>2.7197369904849595</v>
      </c>
      <c r="CM122" s="1691">
        <v>2.6309739912315058</v>
      </c>
      <c r="CN122" s="1691">
        <v>2.5449229663672845</v>
      </c>
      <c r="CO122" s="1691">
        <v>2.4615044281465095</v>
      </c>
      <c r="CP122" s="1692">
        <v>2.383386189537227</v>
      </c>
    </row>
    <row r="123" spans="2:94" s="1278" customFormat="1" ht="16" thickBot="1" x14ac:dyDescent="0.35">
      <c r="B123" s="1730"/>
      <c r="C123" s="1281" t="str">
        <f t="shared" si="0"/>
        <v>FND29</v>
      </c>
      <c r="D123" s="1438" t="s">
        <v>2205</v>
      </c>
      <c r="E123" s="1280" t="s">
        <v>1327</v>
      </c>
      <c r="F123" s="1279"/>
      <c r="G123" s="1279"/>
      <c r="H123" s="1279" t="s">
        <v>163</v>
      </c>
      <c r="I123" s="1731">
        <f>IF(SUM($N122:$CP122)&lt;&gt;0,SUM($N122:$CP122),"")</f>
        <v>697.27855223547897</v>
      </c>
      <c r="J123" s="1732"/>
      <c r="K123" s="1732"/>
      <c r="L123" s="1732"/>
      <c r="M123" s="1733"/>
    </row>
    <row r="124" spans="2:94" ht="46.5" x14ac:dyDescent="0.3">
      <c r="B124" s="1728" t="s">
        <v>1313</v>
      </c>
      <c r="C124" s="1447" t="s">
        <v>2202</v>
      </c>
      <c r="D124" s="1449" t="s">
        <v>2176</v>
      </c>
      <c r="E124" s="1269" t="s">
        <v>1316</v>
      </c>
      <c r="F124" s="1288"/>
      <c r="G124" s="1288"/>
      <c r="H124" s="1270" t="s">
        <v>163</v>
      </c>
      <c r="I124" s="1450"/>
      <c r="J124" s="1265"/>
      <c r="K124" s="1265"/>
      <c r="L124" s="1265"/>
      <c r="M124" s="1265"/>
      <c r="N124" s="1423"/>
      <c r="O124" s="1424">
        <v>0.50710311228610416</v>
      </c>
      <c r="P124" s="1424">
        <v>1.0142062245722083</v>
      </c>
      <c r="Q124" s="1424">
        <v>2.0284124491444167</v>
      </c>
      <c r="R124" s="1424">
        <v>3.0426186737166243</v>
      </c>
      <c r="S124" s="1424">
        <v>3.5497217860027281</v>
      </c>
      <c r="T124" s="1424">
        <v>0</v>
      </c>
      <c r="U124" s="1424">
        <v>0</v>
      </c>
      <c r="V124" s="1424">
        <v>0</v>
      </c>
      <c r="W124" s="1424">
        <v>0</v>
      </c>
      <c r="X124" s="1424">
        <v>0</v>
      </c>
      <c r="Y124" s="1424">
        <v>0</v>
      </c>
      <c r="Z124" s="1424">
        <v>0</v>
      </c>
      <c r="AA124" s="1424">
        <v>0</v>
      </c>
      <c r="AB124" s="1424">
        <v>0</v>
      </c>
      <c r="AC124" s="1424">
        <v>0</v>
      </c>
      <c r="AD124" s="1424">
        <v>0</v>
      </c>
      <c r="AE124" s="1424">
        <v>0</v>
      </c>
      <c r="AF124" s="1424">
        <v>0</v>
      </c>
      <c r="AG124" s="1424">
        <v>0</v>
      </c>
      <c r="AH124" s="1424">
        <v>0</v>
      </c>
      <c r="AI124" s="1424">
        <v>0</v>
      </c>
      <c r="AJ124" s="1424">
        <v>0</v>
      </c>
      <c r="AK124" s="1424">
        <v>0</v>
      </c>
      <c r="AL124" s="1424">
        <v>0</v>
      </c>
      <c r="AM124" s="1424">
        <v>0</v>
      </c>
      <c r="AN124" s="1424">
        <v>2.3495459147256953E-2</v>
      </c>
      <c r="AO124" s="1424">
        <v>4.6990918294513906E-2</v>
      </c>
      <c r="AP124" s="1424">
        <v>9.3981836589027812E-2</v>
      </c>
      <c r="AQ124" s="1424">
        <v>0.14097275488354175</v>
      </c>
      <c r="AR124" s="1424">
        <v>0.16446821403079867</v>
      </c>
      <c r="AS124" s="1424">
        <v>0</v>
      </c>
      <c r="AT124" s="1424">
        <v>0</v>
      </c>
      <c r="AU124" s="1424">
        <v>0</v>
      </c>
      <c r="AV124" s="1424">
        <v>0</v>
      </c>
      <c r="AW124" s="1424">
        <v>0</v>
      </c>
      <c r="AX124" s="1424">
        <v>0</v>
      </c>
      <c r="AY124" s="1424">
        <v>0</v>
      </c>
      <c r="AZ124" s="1424">
        <v>0</v>
      </c>
      <c r="BA124" s="1424">
        <v>0</v>
      </c>
      <c r="BB124" s="1424">
        <v>0</v>
      </c>
      <c r="BC124" s="1424">
        <v>8.1328651279705233E-2</v>
      </c>
      <c r="BD124" s="1424">
        <v>0.16265730255941047</v>
      </c>
      <c r="BE124" s="1424">
        <v>0.32531460511882093</v>
      </c>
      <c r="BF124" s="1424">
        <v>0.4879719076782314</v>
      </c>
      <c r="BG124" s="1424">
        <v>0.56930055895793652</v>
      </c>
      <c r="BH124" s="1424">
        <v>0</v>
      </c>
      <c r="BI124" s="1424">
        <v>0</v>
      </c>
      <c r="BJ124" s="1424">
        <v>0</v>
      </c>
      <c r="BK124" s="1424">
        <v>0</v>
      </c>
      <c r="BL124" s="1424">
        <v>0</v>
      </c>
      <c r="BM124" s="1424">
        <v>2.3495459147256953E-2</v>
      </c>
      <c r="BN124" s="1424">
        <v>4.6990918294513906E-2</v>
      </c>
      <c r="BO124" s="1424">
        <v>9.3981836589027812E-2</v>
      </c>
      <c r="BP124" s="1424">
        <v>0.14097275488354175</v>
      </c>
      <c r="BQ124" s="1424">
        <v>0.16446821403079867</v>
      </c>
      <c r="BR124" s="1424">
        <v>0</v>
      </c>
      <c r="BS124" s="1424">
        <v>0</v>
      </c>
      <c r="BT124" s="1424">
        <v>0</v>
      </c>
      <c r="BU124" s="1424">
        <v>0</v>
      </c>
      <c r="BV124" s="1424">
        <v>0</v>
      </c>
      <c r="BW124" s="1424">
        <v>0</v>
      </c>
      <c r="BX124" s="1424">
        <v>0</v>
      </c>
      <c r="BY124" s="1424">
        <v>0</v>
      </c>
      <c r="BZ124" s="1424">
        <v>0</v>
      </c>
      <c r="CA124" s="1424">
        <v>0</v>
      </c>
      <c r="CB124" s="1424">
        <v>0</v>
      </c>
      <c r="CC124" s="1424">
        <v>0</v>
      </c>
      <c r="CD124" s="1424">
        <v>0</v>
      </c>
      <c r="CE124" s="1424">
        <v>0</v>
      </c>
      <c r="CF124" s="1424">
        <v>0</v>
      </c>
      <c r="CG124" s="1424">
        <v>0</v>
      </c>
      <c r="CH124" s="1424">
        <v>0</v>
      </c>
      <c r="CI124" s="1424">
        <v>0</v>
      </c>
      <c r="CJ124" s="1424">
        <v>0</v>
      </c>
      <c r="CK124" s="1424">
        <v>0</v>
      </c>
      <c r="CL124" s="1424">
        <v>2.3495459147256953E-2</v>
      </c>
      <c r="CM124" s="1424">
        <v>4.6990918294513906E-2</v>
      </c>
      <c r="CN124" s="1424">
        <v>9.3981836589027812E-2</v>
      </c>
      <c r="CO124" s="1424">
        <v>0.14097275488354175</v>
      </c>
      <c r="CP124" s="1425">
        <v>0.16446821403079867</v>
      </c>
    </row>
    <row r="125" spans="2:94" ht="46.5" x14ac:dyDescent="0.3">
      <c r="B125" s="1729"/>
      <c r="C125" s="1668" t="s">
        <v>2202</v>
      </c>
      <c r="D125" s="1446" t="s">
        <v>2176</v>
      </c>
      <c r="E125" s="1260" t="s">
        <v>1317</v>
      </c>
      <c r="F125" s="1287"/>
      <c r="G125" s="1287"/>
      <c r="H125" s="1264" t="s">
        <v>1318</v>
      </c>
      <c r="I125" s="1451"/>
      <c r="J125" s="1259"/>
      <c r="K125" s="1259"/>
      <c r="L125" s="1259"/>
      <c r="M125" s="1259"/>
      <c r="N125" s="1426"/>
      <c r="O125" s="1427">
        <v>0</v>
      </c>
      <c r="P125" s="1427">
        <v>0</v>
      </c>
      <c r="Q125" s="1427">
        <v>0</v>
      </c>
      <c r="R125" s="1427">
        <v>0</v>
      </c>
      <c r="S125" s="1427">
        <v>0</v>
      </c>
      <c r="T125" s="1427">
        <v>15.800026565454623</v>
      </c>
      <c r="U125" s="1427">
        <v>15.800026565454623</v>
      </c>
      <c r="V125" s="1427">
        <v>15.800026565454623</v>
      </c>
      <c r="W125" s="1427">
        <v>15.800026565454623</v>
      </c>
      <c r="X125" s="1427">
        <v>15.800026565454623</v>
      </c>
      <c r="Y125" s="1427">
        <v>15.800026565454623</v>
      </c>
      <c r="Z125" s="1427">
        <v>15.800026565454623</v>
      </c>
      <c r="AA125" s="1427">
        <v>15.800026565454623</v>
      </c>
      <c r="AB125" s="1427">
        <v>15.800026565454623</v>
      </c>
      <c r="AC125" s="1427">
        <v>15.800026565454623</v>
      </c>
      <c r="AD125" s="1427">
        <v>15.800026565454623</v>
      </c>
      <c r="AE125" s="1427">
        <v>15.800026565454623</v>
      </c>
      <c r="AF125" s="1427">
        <v>15.800026565454623</v>
      </c>
      <c r="AG125" s="1427">
        <v>15.800026565454623</v>
      </c>
      <c r="AH125" s="1427">
        <v>15.800026565454623</v>
      </c>
      <c r="AI125" s="1427">
        <v>15.800026565454623</v>
      </c>
      <c r="AJ125" s="1427">
        <v>15.800026565454623</v>
      </c>
      <c r="AK125" s="1427">
        <v>15.800026565454623</v>
      </c>
      <c r="AL125" s="1427">
        <v>15.800026565454623</v>
      </c>
      <c r="AM125" s="1427">
        <v>15.800026565454623</v>
      </c>
      <c r="AN125" s="1427">
        <v>15.800026565454623</v>
      </c>
      <c r="AO125" s="1427">
        <v>15.800026565454623</v>
      </c>
      <c r="AP125" s="1427">
        <v>15.800026565454623</v>
      </c>
      <c r="AQ125" s="1427">
        <v>15.800026565454623</v>
      </c>
      <c r="AR125" s="1427">
        <v>15.800026565454623</v>
      </c>
      <c r="AS125" s="1427">
        <v>15.800026565454623</v>
      </c>
      <c r="AT125" s="1427">
        <v>15.800026565454623</v>
      </c>
      <c r="AU125" s="1427">
        <v>15.800026565454623</v>
      </c>
      <c r="AV125" s="1427">
        <v>15.800026565454623</v>
      </c>
      <c r="AW125" s="1427">
        <v>15.800026565454623</v>
      </c>
      <c r="AX125" s="1427">
        <v>15.800026565454623</v>
      </c>
      <c r="AY125" s="1427">
        <v>15.800026565454623</v>
      </c>
      <c r="AZ125" s="1427">
        <v>15.800026565454623</v>
      </c>
      <c r="BA125" s="1427">
        <v>15.800026565454623</v>
      </c>
      <c r="BB125" s="1427">
        <v>15.800026565454623</v>
      </c>
      <c r="BC125" s="1427">
        <v>15.800026565454623</v>
      </c>
      <c r="BD125" s="1427">
        <v>15.800026565454623</v>
      </c>
      <c r="BE125" s="1427">
        <v>15.800026565454623</v>
      </c>
      <c r="BF125" s="1427">
        <v>15.800026565454623</v>
      </c>
      <c r="BG125" s="1427">
        <v>15.800026565454623</v>
      </c>
      <c r="BH125" s="1427">
        <v>15.800026565454623</v>
      </c>
      <c r="BI125" s="1427">
        <v>15.800026565454623</v>
      </c>
      <c r="BJ125" s="1427">
        <v>15.800026565454623</v>
      </c>
      <c r="BK125" s="1427">
        <v>15.800026565454623</v>
      </c>
      <c r="BL125" s="1427">
        <v>15.800026565454623</v>
      </c>
      <c r="BM125" s="1427">
        <v>15.800026565454623</v>
      </c>
      <c r="BN125" s="1427">
        <v>15.800026565454623</v>
      </c>
      <c r="BO125" s="1427">
        <v>15.800026565454623</v>
      </c>
      <c r="BP125" s="1427">
        <v>15.800026565454623</v>
      </c>
      <c r="BQ125" s="1427">
        <v>15.800026565454623</v>
      </c>
      <c r="BR125" s="1427">
        <v>15.800026565454623</v>
      </c>
      <c r="BS125" s="1427">
        <v>15.800026565454623</v>
      </c>
      <c r="BT125" s="1427">
        <v>15.800026565454623</v>
      </c>
      <c r="BU125" s="1427">
        <v>15.800026565454623</v>
      </c>
      <c r="BV125" s="1427">
        <v>15.800026565454623</v>
      </c>
      <c r="BW125" s="1427">
        <v>15.800026565454623</v>
      </c>
      <c r="BX125" s="1427">
        <v>15.800026565454623</v>
      </c>
      <c r="BY125" s="1427">
        <v>15.800026565454623</v>
      </c>
      <c r="BZ125" s="1427">
        <v>15.800026565454623</v>
      </c>
      <c r="CA125" s="1427">
        <v>15.800026565454623</v>
      </c>
      <c r="CB125" s="1427">
        <v>15.800026565454623</v>
      </c>
      <c r="CC125" s="1427">
        <v>15.800026565454623</v>
      </c>
      <c r="CD125" s="1427">
        <v>15.800026565454623</v>
      </c>
      <c r="CE125" s="1427">
        <v>15.800026565454623</v>
      </c>
      <c r="CF125" s="1427">
        <v>15.800026565454623</v>
      </c>
      <c r="CG125" s="1427">
        <v>15.800026565454623</v>
      </c>
      <c r="CH125" s="1427">
        <v>15.800026565454623</v>
      </c>
      <c r="CI125" s="1427">
        <v>15.800026565454623</v>
      </c>
      <c r="CJ125" s="1427">
        <v>15.800026565454623</v>
      </c>
      <c r="CK125" s="1427">
        <v>15.800026565454623</v>
      </c>
      <c r="CL125" s="1427">
        <v>15.800026565454623</v>
      </c>
      <c r="CM125" s="1427">
        <v>15.800026565454623</v>
      </c>
      <c r="CN125" s="1427">
        <v>15.800026565454623</v>
      </c>
      <c r="CO125" s="1427">
        <v>15.800026565454623</v>
      </c>
      <c r="CP125" s="1428">
        <v>15.800026565454623</v>
      </c>
    </row>
    <row r="126" spans="2:94" ht="46.5" x14ac:dyDescent="0.3">
      <c r="B126" s="1729"/>
      <c r="C126" s="1444" t="s">
        <v>2202</v>
      </c>
      <c r="D126" s="1446" t="s">
        <v>2176</v>
      </c>
      <c r="E126" s="1260" t="s">
        <v>1319</v>
      </c>
      <c r="F126" s="1287"/>
      <c r="G126" s="1287"/>
      <c r="H126" s="1264" t="s">
        <v>1318</v>
      </c>
      <c r="I126" s="1451"/>
      <c r="J126" s="1259"/>
      <c r="K126" s="1259"/>
      <c r="L126" s="1259"/>
      <c r="M126" s="1259"/>
      <c r="N126" s="1426"/>
      <c r="O126" s="1427">
        <v>2.2692110826178037E-2</v>
      </c>
      <c r="P126" s="1427">
        <v>6.7842688031137355E-2</v>
      </c>
      <c r="Q126" s="1427">
        <v>0.15791019799365921</v>
      </c>
      <c r="R126" s="1427">
        <v>0.29242735181895008</v>
      </c>
      <c r="S126" s="1427">
        <v>0.44823474978603839</v>
      </c>
      <c r="T126" s="1427">
        <v>0.44356186083810306</v>
      </c>
      <c r="U126" s="1427">
        <v>0.43888897189016768</v>
      </c>
      <c r="V126" s="1427">
        <v>0.43421608294223235</v>
      </c>
      <c r="W126" s="1427">
        <v>0.42954319399429697</v>
      </c>
      <c r="X126" s="1427">
        <v>0.42487030504636158</v>
      </c>
      <c r="Y126" s="1427">
        <v>0.4201974160984262</v>
      </c>
      <c r="Z126" s="1427">
        <v>0.41552452715049087</v>
      </c>
      <c r="AA126" s="1427">
        <v>0.4108516382025556</v>
      </c>
      <c r="AB126" s="1427">
        <v>0.40617874925462022</v>
      </c>
      <c r="AC126" s="1427">
        <v>0.40150586030668484</v>
      </c>
      <c r="AD126" s="1427">
        <v>0.39683297135874956</v>
      </c>
      <c r="AE126" s="1427">
        <v>0.39216008241081424</v>
      </c>
      <c r="AF126" s="1427">
        <v>0.38748719346287891</v>
      </c>
      <c r="AG126" s="1427">
        <v>0.38281430451494353</v>
      </c>
      <c r="AH126" s="1427">
        <v>0.37814141556700814</v>
      </c>
      <c r="AI126" s="1427">
        <v>0.37346852661907287</v>
      </c>
      <c r="AJ126" s="1427">
        <v>0.36879563767113743</v>
      </c>
      <c r="AK126" s="1427">
        <v>0.36412274872320211</v>
      </c>
      <c r="AL126" s="1427">
        <v>0.35944985977526678</v>
      </c>
      <c r="AM126" s="1427">
        <v>0.35477697082733145</v>
      </c>
      <c r="AN126" s="1427">
        <v>0.35079014928649604</v>
      </c>
      <c r="AO126" s="1427">
        <v>0.34748939515276051</v>
      </c>
      <c r="AP126" s="1427">
        <v>0.34556077583322475</v>
      </c>
      <c r="AQ126" s="1427">
        <v>0.34500429132788885</v>
      </c>
      <c r="AR126" s="1427">
        <v>0.34513387422965286</v>
      </c>
      <c r="AS126" s="1427">
        <v>0.34046098528171748</v>
      </c>
      <c r="AT126" s="1427">
        <v>0.33578809633378215</v>
      </c>
      <c r="AU126" s="1427">
        <v>0.33111520738584677</v>
      </c>
      <c r="AV126" s="1427">
        <v>0.32644231843791138</v>
      </c>
      <c r="AW126" s="1427">
        <v>0.32176942948997611</v>
      </c>
      <c r="AX126" s="1427">
        <v>0.31709654054204073</v>
      </c>
      <c r="AY126" s="1427">
        <v>0.31242365159410534</v>
      </c>
      <c r="AZ126" s="1427">
        <v>0.30775076264617007</v>
      </c>
      <c r="BA126" s="1427">
        <v>0.30307787369823475</v>
      </c>
      <c r="BB126" s="1427">
        <v>0.29840498475029936</v>
      </c>
      <c r="BC126" s="1427">
        <v>0.29610689241973143</v>
      </c>
      <c r="BD126" s="1427">
        <v>0.29618359670653088</v>
      </c>
      <c r="BE126" s="1427">
        <v>0.30100989422806507</v>
      </c>
      <c r="BF126" s="1427">
        <v>0.31058578498433403</v>
      </c>
      <c r="BG126" s="1427">
        <v>0.32253647235797045</v>
      </c>
      <c r="BH126" s="1427">
        <v>0.31786358341003518</v>
      </c>
      <c r="BI126" s="1427">
        <v>0.31319069446209974</v>
      </c>
      <c r="BJ126" s="1427">
        <v>0.30851780551416441</v>
      </c>
      <c r="BK126" s="1427">
        <v>0.30384491656622908</v>
      </c>
      <c r="BL126" s="1427">
        <v>0.29917202761829365</v>
      </c>
      <c r="BM126" s="1427">
        <v>0.29518520607745818</v>
      </c>
      <c r="BN126" s="1427">
        <v>0.29188445194372264</v>
      </c>
      <c r="BO126" s="1427">
        <v>0.28995583262418689</v>
      </c>
      <c r="BP126" s="1427">
        <v>0.28939934811885099</v>
      </c>
      <c r="BQ126" s="1427">
        <v>0.28952893102061489</v>
      </c>
      <c r="BR126" s="1427">
        <v>0.28485604207267962</v>
      </c>
      <c r="BS126" s="1427">
        <v>0.28018315312474418</v>
      </c>
      <c r="BT126" s="1427">
        <v>0.27551026417680885</v>
      </c>
      <c r="BU126" s="1427">
        <v>0.27083737522887352</v>
      </c>
      <c r="BV126" s="1427">
        <v>0.26616448628093814</v>
      </c>
      <c r="BW126" s="1427">
        <v>0.26149159733300281</v>
      </c>
      <c r="BX126" s="1427">
        <v>0.25681870838506743</v>
      </c>
      <c r="BY126" s="1427">
        <v>0.2521458194371321</v>
      </c>
      <c r="BZ126" s="1427">
        <v>0.24747293048919672</v>
      </c>
      <c r="CA126" s="1427">
        <v>0.24280004154126139</v>
      </c>
      <c r="CB126" s="1427">
        <v>0.23812715259332604</v>
      </c>
      <c r="CC126" s="1427">
        <v>0.23345426364539068</v>
      </c>
      <c r="CD126" s="1427">
        <v>0.2287813746974553</v>
      </c>
      <c r="CE126" s="1427">
        <v>0.22410848574951997</v>
      </c>
      <c r="CF126" s="1427">
        <v>0.21943559680158459</v>
      </c>
      <c r="CG126" s="1427">
        <v>0.21476270785364926</v>
      </c>
      <c r="CH126" s="1427">
        <v>0.21008981890571388</v>
      </c>
      <c r="CI126" s="1427">
        <v>0.20541692995777849</v>
      </c>
      <c r="CJ126" s="1427">
        <v>0.20074404100984319</v>
      </c>
      <c r="CK126" s="1427">
        <v>0.19607115206190784</v>
      </c>
      <c r="CL126" s="1427">
        <v>0.19208433052107238</v>
      </c>
      <c r="CM126" s="1427">
        <v>0.18878357638733684</v>
      </c>
      <c r="CN126" s="1427">
        <v>0.18685495706780109</v>
      </c>
      <c r="CO126" s="1427">
        <v>0.18629847256246512</v>
      </c>
      <c r="CP126" s="1428">
        <v>0.18642805546422911</v>
      </c>
    </row>
    <row r="127" spans="2:94" ht="46.5" x14ac:dyDescent="0.3">
      <c r="B127" s="1729"/>
      <c r="C127" s="1444" t="s">
        <v>2202</v>
      </c>
      <c r="D127" s="1446" t="s">
        <v>2176</v>
      </c>
      <c r="E127" s="1260" t="s">
        <v>1320</v>
      </c>
      <c r="F127" s="1287"/>
      <c r="G127" s="1287"/>
      <c r="H127" s="1264" t="s">
        <v>1318</v>
      </c>
      <c r="I127" s="1451"/>
      <c r="J127" s="1259"/>
      <c r="K127" s="1259"/>
      <c r="L127" s="1259"/>
      <c r="M127" s="1259"/>
      <c r="N127" s="1426"/>
      <c r="O127" s="1427"/>
      <c r="P127" s="1427">
        <v>3.5000000000000003E-2</v>
      </c>
      <c r="Q127" s="1427">
        <v>3.5000000000000003E-2</v>
      </c>
      <c r="R127" s="1427">
        <v>3.5000000000000003E-2</v>
      </c>
      <c r="S127" s="1427">
        <v>3.5000000000000003E-2</v>
      </c>
      <c r="T127" s="1427">
        <v>3.5000000000000003E-2</v>
      </c>
      <c r="U127" s="1427">
        <v>3.5000000000000003E-2</v>
      </c>
      <c r="V127" s="1427">
        <v>3.5000000000000003E-2</v>
      </c>
      <c r="W127" s="1427">
        <v>3.5000000000000003E-2</v>
      </c>
      <c r="X127" s="1427">
        <v>3.5000000000000003E-2</v>
      </c>
      <c r="Y127" s="1427">
        <v>3.5000000000000003E-2</v>
      </c>
      <c r="Z127" s="1427">
        <v>3.5000000000000003E-2</v>
      </c>
      <c r="AA127" s="1427">
        <v>3.5000000000000003E-2</v>
      </c>
      <c r="AB127" s="1427">
        <v>3.5000000000000003E-2</v>
      </c>
      <c r="AC127" s="1427">
        <v>3.5000000000000003E-2</v>
      </c>
      <c r="AD127" s="1427">
        <v>3.5000000000000003E-2</v>
      </c>
      <c r="AE127" s="1427">
        <v>3.5000000000000003E-2</v>
      </c>
      <c r="AF127" s="1427">
        <v>3.5000000000000003E-2</v>
      </c>
      <c r="AG127" s="1427">
        <v>3.5000000000000003E-2</v>
      </c>
      <c r="AH127" s="1427">
        <v>3.5000000000000003E-2</v>
      </c>
      <c r="AI127" s="1427">
        <v>3.5000000000000003E-2</v>
      </c>
      <c r="AJ127" s="1427">
        <v>3.5000000000000003E-2</v>
      </c>
      <c r="AK127" s="1427">
        <v>3.5000000000000003E-2</v>
      </c>
      <c r="AL127" s="1427">
        <v>3.5000000000000003E-2</v>
      </c>
      <c r="AM127" s="1427">
        <v>3.5000000000000003E-2</v>
      </c>
      <c r="AN127" s="1427">
        <v>3.5000000000000003E-2</v>
      </c>
      <c r="AO127" s="1427">
        <v>3.5000000000000003E-2</v>
      </c>
      <c r="AP127" s="1427">
        <v>3.5000000000000003E-2</v>
      </c>
      <c r="AQ127" s="1427">
        <v>3.5000000000000003E-2</v>
      </c>
      <c r="AR127" s="1427">
        <v>3.5000000000000003E-2</v>
      </c>
      <c r="AS127" s="1427">
        <v>0.03</v>
      </c>
      <c r="AT127" s="1427">
        <v>0.03</v>
      </c>
      <c r="AU127" s="1427">
        <v>0.03</v>
      </c>
      <c r="AV127" s="1427">
        <v>0.03</v>
      </c>
      <c r="AW127" s="1427">
        <v>0.03</v>
      </c>
      <c r="AX127" s="1427">
        <v>0.03</v>
      </c>
      <c r="AY127" s="1427">
        <v>0.03</v>
      </c>
      <c r="AZ127" s="1427">
        <v>0.03</v>
      </c>
      <c r="BA127" s="1427">
        <v>0.03</v>
      </c>
      <c r="BB127" s="1427">
        <v>0.03</v>
      </c>
      <c r="BC127" s="1427">
        <v>0.03</v>
      </c>
      <c r="BD127" s="1427">
        <v>0.03</v>
      </c>
      <c r="BE127" s="1427">
        <v>0.03</v>
      </c>
      <c r="BF127" s="1427">
        <v>0.03</v>
      </c>
      <c r="BG127" s="1427">
        <v>0.03</v>
      </c>
      <c r="BH127" s="1427">
        <v>0.03</v>
      </c>
      <c r="BI127" s="1427">
        <v>0.03</v>
      </c>
      <c r="BJ127" s="1427">
        <v>0.03</v>
      </c>
      <c r="BK127" s="1427">
        <v>0.03</v>
      </c>
      <c r="BL127" s="1427">
        <v>0.03</v>
      </c>
      <c r="BM127" s="1427">
        <v>0.03</v>
      </c>
      <c r="BN127" s="1427">
        <v>0.03</v>
      </c>
      <c r="BO127" s="1427">
        <v>0.03</v>
      </c>
      <c r="BP127" s="1427">
        <v>0.03</v>
      </c>
      <c r="BQ127" s="1427">
        <v>0.03</v>
      </c>
      <c r="BR127" s="1427">
        <v>0.03</v>
      </c>
      <c r="BS127" s="1427">
        <v>0.03</v>
      </c>
      <c r="BT127" s="1427">
        <v>0.03</v>
      </c>
      <c r="BU127" s="1427">
        <v>0.03</v>
      </c>
      <c r="BV127" s="1427">
        <v>0.03</v>
      </c>
      <c r="BW127" s="1427">
        <v>0.03</v>
      </c>
      <c r="BX127" s="1427">
        <v>0.03</v>
      </c>
      <c r="BY127" s="1427">
        <v>0.03</v>
      </c>
      <c r="BZ127" s="1427">
        <v>0.03</v>
      </c>
      <c r="CA127" s="1427">
        <v>0.03</v>
      </c>
      <c r="CB127" s="1427">
        <v>0.03</v>
      </c>
      <c r="CC127" s="1427">
        <v>0.03</v>
      </c>
      <c r="CD127" s="1427">
        <v>0.03</v>
      </c>
      <c r="CE127" s="1427">
        <v>0.03</v>
      </c>
      <c r="CF127" s="1427">
        <v>0.03</v>
      </c>
      <c r="CG127" s="1427">
        <v>0.03</v>
      </c>
      <c r="CH127" s="1427">
        <v>0.03</v>
      </c>
      <c r="CI127" s="1427">
        <v>0.03</v>
      </c>
      <c r="CJ127" s="1427">
        <v>0.03</v>
      </c>
      <c r="CK127" s="1427">
        <v>0.03</v>
      </c>
      <c r="CL127" s="1427">
        <v>2.5000000000000001E-2</v>
      </c>
      <c r="CM127" s="1427">
        <v>2.5000000000000001E-2</v>
      </c>
      <c r="CN127" s="1427">
        <v>2.5000000000000001E-2</v>
      </c>
      <c r="CO127" s="1427">
        <v>2.5000000000000001E-2</v>
      </c>
      <c r="CP127" s="1428">
        <v>2.5000000000000001E-2</v>
      </c>
    </row>
    <row r="128" spans="2:94" ht="46.5" x14ac:dyDescent="0.3">
      <c r="B128" s="1729"/>
      <c r="C128" s="1444" t="s">
        <v>2202</v>
      </c>
      <c r="D128" s="1446" t="s">
        <v>2176</v>
      </c>
      <c r="E128" s="1260" t="s">
        <v>1321</v>
      </c>
      <c r="F128" s="1287"/>
      <c r="G128" s="1287"/>
      <c r="H128" s="1264" t="s">
        <v>1318</v>
      </c>
      <c r="I128" s="1451"/>
      <c r="J128" s="1259"/>
      <c r="K128" s="1259"/>
      <c r="L128" s="1259"/>
      <c r="M128" s="1259"/>
      <c r="N128" s="1426"/>
      <c r="O128" s="1427">
        <v>1</v>
      </c>
      <c r="P128" s="1427">
        <v>0.96618357487922713</v>
      </c>
      <c r="Q128" s="1427">
        <v>0.93351070036640305</v>
      </c>
      <c r="R128" s="1427">
        <v>0.90194270566802237</v>
      </c>
      <c r="S128" s="1427">
        <v>0.87144222769857238</v>
      </c>
      <c r="T128" s="1427">
        <v>0.84197316685852408</v>
      </c>
      <c r="U128" s="1427">
        <v>0.81350064430775282</v>
      </c>
      <c r="V128" s="1427">
        <v>0.78599096068381924</v>
      </c>
      <c r="W128" s="1427">
        <v>0.75941155621625056</v>
      </c>
      <c r="X128" s="1427">
        <v>0.73373097218961414</v>
      </c>
      <c r="Y128" s="1427">
        <v>0.70891881370977217</v>
      </c>
      <c r="Z128" s="1427">
        <v>0.68494571372924851</v>
      </c>
      <c r="AA128" s="1427">
        <v>0.66178329828912907</v>
      </c>
      <c r="AB128" s="1427">
        <v>0.63940415293635666</v>
      </c>
      <c r="AC128" s="1427">
        <v>0.61778179027667313</v>
      </c>
      <c r="AD128" s="1427">
        <v>0.59689061862480497</v>
      </c>
      <c r="AE128" s="1427">
        <v>0.57670591171478747</v>
      </c>
      <c r="AF128" s="1427">
        <v>0.55720377943457733</v>
      </c>
      <c r="AG128" s="1427">
        <v>0.53836113955031628</v>
      </c>
      <c r="AH128" s="1427">
        <v>0.520155690386779</v>
      </c>
      <c r="AI128" s="1427">
        <v>0.50256588443167061</v>
      </c>
      <c r="AJ128" s="1427">
        <v>0.48557090283253201</v>
      </c>
      <c r="AK128" s="1427">
        <v>0.46915063075606961</v>
      </c>
      <c r="AL128" s="1427">
        <v>0.45328563358074364</v>
      </c>
      <c r="AM128" s="1427">
        <v>0.43795713389443836</v>
      </c>
      <c r="AN128" s="1427">
        <v>0.42314698926998878</v>
      </c>
      <c r="AO128" s="1427">
        <v>0.40883767079225974</v>
      </c>
      <c r="AP128" s="1427">
        <v>0.39501224231136212</v>
      </c>
      <c r="AQ128" s="1427">
        <v>0.38165434039745133</v>
      </c>
      <c r="AR128" s="1427">
        <v>0.36874815497338298</v>
      </c>
      <c r="AS128" s="1427">
        <v>0.35800791744988636</v>
      </c>
      <c r="AT128" s="1427">
        <v>0.34758050237853044</v>
      </c>
      <c r="AU128" s="1427">
        <v>0.33745679842575771</v>
      </c>
      <c r="AV128" s="1427">
        <v>0.32762795963665797</v>
      </c>
      <c r="AW128" s="1427">
        <v>0.31808539770549316</v>
      </c>
      <c r="AX128" s="1427">
        <v>0.30882077447135259</v>
      </c>
      <c r="AY128" s="1427">
        <v>0.29982599463238113</v>
      </c>
      <c r="AZ128" s="1427">
        <v>0.29109319867221467</v>
      </c>
      <c r="BA128" s="1427">
        <v>0.2826147559924414</v>
      </c>
      <c r="BB128" s="1427">
        <v>0.27438325824508875</v>
      </c>
      <c r="BC128" s="1427">
        <v>0.26639151285930945</v>
      </c>
      <c r="BD128" s="1427">
        <v>0.25863253675661113</v>
      </c>
      <c r="BE128" s="1427">
        <v>0.25109955024913699</v>
      </c>
      <c r="BF128" s="1427">
        <v>0.24378597111566697</v>
      </c>
      <c r="BG128" s="1427">
        <v>0.23668540885016209</v>
      </c>
      <c r="BH128" s="1427">
        <v>0.22979165907782728</v>
      </c>
      <c r="BI128" s="1427">
        <v>0.22309869813381289</v>
      </c>
      <c r="BJ128" s="1427">
        <v>0.21660067779981834</v>
      </c>
      <c r="BK128" s="1427">
        <v>0.21029192019399839</v>
      </c>
      <c r="BL128" s="1427">
        <v>0.20416691280970717</v>
      </c>
      <c r="BM128" s="1427">
        <v>0.19822030369874483</v>
      </c>
      <c r="BN128" s="1427">
        <v>0.19244689679489788</v>
      </c>
      <c r="BO128" s="1427">
        <v>0.18684164737368725</v>
      </c>
      <c r="BP128" s="1427">
        <v>0.18139965764435656</v>
      </c>
      <c r="BQ128" s="1427">
        <v>0.17611617247024908</v>
      </c>
      <c r="BR128" s="1427">
        <v>0.17098657521383406</v>
      </c>
      <c r="BS128" s="1427">
        <v>0.1660063837027515</v>
      </c>
      <c r="BT128" s="1427">
        <v>0.16117124631335097</v>
      </c>
      <c r="BU128" s="1427">
        <v>0.15647693816830191</v>
      </c>
      <c r="BV128" s="1427">
        <v>0.1519193574449533</v>
      </c>
      <c r="BW128" s="1427">
        <v>0.1474945217912168</v>
      </c>
      <c r="BX128" s="1427">
        <v>0.14319856484584156</v>
      </c>
      <c r="BY128" s="1427">
        <v>0.13902773286004036</v>
      </c>
      <c r="BZ128" s="1427">
        <v>0.13497838141751492</v>
      </c>
      <c r="CA128" s="1427">
        <v>0.13104697225001449</v>
      </c>
      <c r="CB128" s="1427">
        <v>0.12723007014564514</v>
      </c>
      <c r="CC128" s="1427">
        <v>0.12352433994722828</v>
      </c>
      <c r="CD128" s="1427">
        <v>0.11992654363808571</v>
      </c>
      <c r="CE128" s="1427">
        <v>0.11643353751270456</v>
      </c>
      <c r="CF128" s="1427">
        <v>0.11304226942981026</v>
      </c>
      <c r="CG128" s="1427">
        <v>0.10974977614544684</v>
      </c>
      <c r="CH128" s="1427">
        <v>0.10655318072373479</v>
      </c>
      <c r="CI128" s="1427">
        <v>0.10344969002304348</v>
      </c>
      <c r="CJ128" s="1427">
        <v>0.10043659225538201</v>
      </c>
      <c r="CK128" s="1427">
        <v>9.7511254616875737E-2</v>
      </c>
      <c r="CL128" s="1427">
        <v>9.5132931333537313E-2</v>
      </c>
      <c r="CM128" s="1427">
        <v>9.2812615935158368E-2</v>
      </c>
      <c r="CN128" s="1427">
        <v>9.0548893595276458E-2</v>
      </c>
      <c r="CO128" s="1427">
        <v>8.834038399539168E-2</v>
      </c>
      <c r="CP128" s="1428">
        <v>8.6185740483308959E-2</v>
      </c>
    </row>
    <row r="129" spans="2:94" ht="46.5" x14ac:dyDescent="0.3">
      <c r="B129" s="1729"/>
      <c r="C129" s="1444" t="s">
        <v>2202</v>
      </c>
      <c r="D129" s="1446" t="s">
        <v>2176</v>
      </c>
      <c r="E129" s="1260" t="s">
        <v>1322</v>
      </c>
      <c r="F129" s="1260" t="s">
        <v>1330</v>
      </c>
      <c r="G129" s="1260"/>
      <c r="H129" s="1260" t="s">
        <v>1324</v>
      </c>
      <c r="I129" s="1451"/>
      <c r="J129" s="1259"/>
      <c r="K129" s="1259"/>
      <c r="L129" s="1259"/>
      <c r="M129" s="1259"/>
      <c r="N129" s="1426"/>
      <c r="O129" s="1427"/>
      <c r="P129" s="1427"/>
      <c r="Q129" s="1427"/>
      <c r="R129" s="1427"/>
      <c r="S129" s="1427"/>
      <c r="T129" s="1427"/>
      <c r="U129" s="1427"/>
      <c r="V129" s="1427"/>
      <c r="W129" s="1427"/>
      <c r="X129" s="1427"/>
      <c r="Y129" s="1427"/>
      <c r="Z129" s="1427"/>
      <c r="AA129" s="1427"/>
      <c r="AB129" s="1427"/>
      <c r="AC129" s="1427"/>
      <c r="AD129" s="1427"/>
      <c r="AE129" s="1427"/>
      <c r="AF129" s="1427"/>
      <c r="AG129" s="1427"/>
      <c r="AH129" s="1427"/>
      <c r="AI129" s="1427"/>
      <c r="AJ129" s="1427"/>
      <c r="AK129" s="1427"/>
      <c r="AL129" s="1427"/>
      <c r="AM129" s="1427"/>
      <c r="AN129" s="1427"/>
      <c r="AO129" s="1427"/>
      <c r="AP129" s="1427"/>
      <c r="AQ129" s="1427"/>
      <c r="AR129" s="1427"/>
      <c r="AS129" s="1427"/>
      <c r="AT129" s="1427"/>
      <c r="AU129" s="1427"/>
      <c r="AV129" s="1427"/>
      <c r="AW129" s="1427"/>
      <c r="AX129" s="1427"/>
      <c r="AY129" s="1427"/>
      <c r="AZ129" s="1427"/>
      <c r="BA129" s="1427"/>
      <c r="BB129" s="1427"/>
      <c r="BC129" s="1427"/>
      <c r="BD129" s="1427"/>
      <c r="BE129" s="1427"/>
      <c r="BF129" s="1427"/>
      <c r="BG129" s="1427"/>
      <c r="BH129" s="1427"/>
      <c r="BI129" s="1427"/>
      <c r="BJ129" s="1427"/>
      <c r="BK129" s="1427"/>
      <c r="BL129" s="1427"/>
      <c r="BM129" s="1427"/>
      <c r="BN129" s="1427"/>
      <c r="BO129" s="1427"/>
      <c r="BP129" s="1427"/>
      <c r="BQ129" s="1427"/>
      <c r="BR129" s="1427"/>
      <c r="BS129" s="1427"/>
      <c r="BT129" s="1427"/>
      <c r="BU129" s="1427"/>
      <c r="BV129" s="1427"/>
      <c r="BW129" s="1427"/>
      <c r="BX129" s="1427"/>
      <c r="BY129" s="1427"/>
      <c r="BZ129" s="1427"/>
      <c r="CA129" s="1427"/>
      <c r="CB129" s="1427"/>
      <c r="CC129" s="1427"/>
      <c r="CD129" s="1427"/>
      <c r="CE129" s="1427"/>
      <c r="CF129" s="1427"/>
      <c r="CG129" s="1427"/>
      <c r="CH129" s="1427"/>
      <c r="CI129" s="1427"/>
      <c r="CJ129" s="1427"/>
      <c r="CK129" s="1427"/>
      <c r="CL129" s="1427"/>
      <c r="CM129" s="1427"/>
      <c r="CN129" s="1427"/>
      <c r="CO129" s="1427"/>
      <c r="CP129" s="1428"/>
    </row>
    <row r="130" spans="2:94" ht="46.5" x14ac:dyDescent="0.3">
      <c r="B130" s="1729"/>
      <c r="C130" s="1444" t="s">
        <v>2202</v>
      </c>
      <c r="D130" s="1446" t="s">
        <v>2176</v>
      </c>
      <c r="E130" s="1264" t="s">
        <v>1322</v>
      </c>
      <c r="F130" s="1260" t="s">
        <v>1325</v>
      </c>
      <c r="G130" s="1260"/>
      <c r="H130" s="1285" t="s">
        <v>1324</v>
      </c>
      <c r="I130" s="1452"/>
      <c r="J130" s="1259"/>
      <c r="K130" s="1259"/>
      <c r="L130" s="1259"/>
      <c r="M130" s="1259"/>
      <c r="N130" s="1426"/>
      <c r="O130" s="1427"/>
      <c r="P130" s="1427"/>
      <c r="Q130" s="1427"/>
      <c r="R130" s="1427"/>
      <c r="S130" s="1427"/>
      <c r="T130" s="1427"/>
      <c r="U130" s="1427"/>
      <c r="V130" s="1427"/>
      <c r="W130" s="1427"/>
      <c r="X130" s="1427"/>
      <c r="Y130" s="1427"/>
      <c r="Z130" s="1427"/>
      <c r="AA130" s="1427"/>
      <c r="AB130" s="1427"/>
      <c r="AC130" s="1427"/>
      <c r="AD130" s="1427"/>
      <c r="AE130" s="1427"/>
      <c r="AF130" s="1427"/>
      <c r="AG130" s="1427"/>
      <c r="AH130" s="1427"/>
      <c r="AI130" s="1427"/>
      <c r="AJ130" s="1427"/>
      <c r="AK130" s="1427"/>
      <c r="AL130" s="1427"/>
      <c r="AM130" s="1427"/>
      <c r="AN130" s="1427"/>
      <c r="AO130" s="1427"/>
      <c r="AP130" s="1427"/>
      <c r="AQ130" s="1427"/>
      <c r="AR130" s="1427"/>
      <c r="AS130" s="1427"/>
      <c r="AT130" s="1427"/>
      <c r="AU130" s="1427"/>
      <c r="AV130" s="1427"/>
      <c r="AW130" s="1427"/>
      <c r="AX130" s="1427"/>
      <c r="AY130" s="1427"/>
      <c r="AZ130" s="1427"/>
      <c r="BA130" s="1427"/>
      <c r="BB130" s="1427"/>
      <c r="BC130" s="1427"/>
      <c r="BD130" s="1427"/>
      <c r="BE130" s="1427"/>
      <c r="BF130" s="1427"/>
      <c r="BG130" s="1427"/>
      <c r="BH130" s="1427"/>
      <c r="BI130" s="1427"/>
      <c r="BJ130" s="1427"/>
      <c r="BK130" s="1427"/>
      <c r="BL130" s="1427"/>
      <c r="BM130" s="1427"/>
      <c r="BN130" s="1427"/>
      <c r="BO130" s="1427"/>
      <c r="BP130" s="1427"/>
      <c r="BQ130" s="1427"/>
      <c r="BR130" s="1427"/>
      <c r="BS130" s="1427"/>
      <c r="BT130" s="1427"/>
      <c r="BU130" s="1427"/>
      <c r="BV130" s="1427"/>
      <c r="BW130" s="1427"/>
      <c r="BX130" s="1427"/>
      <c r="BY130" s="1427"/>
      <c r="BZ130" s="1427"/>
      <c r="CA130" s="1427"/>
      <c r="CB130" s="1427"/>
      <c r="CC130" s="1427"/>
      <c r="CD130" s="1427"/>
      <c r="CE130" s="1427"/>
      <c r="CF130" s="1427"/>
      <c r="CG130" s="1427"/>
      <c r="CH130" s="1427"/>
      <c r="CI130" s="1427"/>
      <c r="CJ130" s="1427"/>
      <c r="CK130" s="1427"/>
      <c r="CL130" s="1427"/>
      <c r="CM130" s="1427"/>
      <c r="CN130" s="1427"/>
      <c r="CO130" s="1427"/>
      <c r="CP130" s="1428"/>
    </row>
    <row r="131" spans="2:94" s="1278" customFormat="1" ht="47" thickBot="1" x14ac:dyDescent="0.35">
      <c r="B131" s="1729"/>
      <c r="C131" s="1444" t="s">
        <v>2202</v>
      </c>
      <c r="D131" s="1446" t="s">
        <v>2176</v>
      </c>
      <c r="E131" s="1280" t="s">
        <v>1326</v>
      </c>
      <c r="F131" s="1279"/>
      <c r="G131" s="1279"/>
      <c r="H131" s="1279" t="s">
        <v>163</v>
      </c>
      <c r="I131" s="1453"/>
      <c r="J131" s="1282"/>
      <c r="K131" s="1282"/>
      <c r="L131" s="1282"/>
      <c r="M131" s="1258"/>
      <c r="N131" s="1434" t="str">
        <f>IF((N125+N126)*N128&lt;&gt;0,(N125+N126)*N128,"")</f>
        <v/>
      </c>
      <c r="O131" s="1435">
        <v>2.2692110826178037E-2</v>
      </c>
      <c r="P131" s="1435">
        <v>6.5548490851340444E-2</v>
      </c>
      <c r="Q131" s="1435">
        <v>0.14741085952405819</v>
      </c>
      <c r="R131" s="1435">
        <v>0.26375271691091851</v>
      </c>
      <c r="S131" s="1435">
        <v>0.39061068888545747</v>
      </c>
      <c r="T131" s="1435">
        <v>13.676665588432156</v>
      </c>
      <c r="U131" s="1435">
        <v>13.210368252489163</v>
      </c>
      <c r="V131" s="1435">
        <v>12.759967975187674</v>
      </c>
      <c r="W131" s="1435">
        <v>12.324922827743301</v>
      </c>
      <c r="X131" s="1435">
        <v>11.904709354468913</v>
      </c>
      <c r="Y131" s="1435">
        <v>11.498821943109384</v>
      </c>
      <c r="Z131" s="1435">
        <v>11.106772216637504</v>
      </c>
      <c r="AA131" s="1435">
        <v>10.728088445779598</v>
      </c>
      <c r="AB131" s="1435">
        <v>10.362314981564344</v>
      </c>
      <c r="AC131" s="1435">
        <v>10.009011707212391</v>
      </c>
      <c r="AD131" s="1435">
        <v>9.6677535087076052</v>
      </c>
      <c r="AE131" s="1435">
        <v>9.3381297634132441</v>
      </c>
      <c r="AF131" s="1435">
        <v>9.0197438461180521</v>
      </c>
      <c r="AG131" s="1435">
        <v>8.7122126519182466</v>
      </c>
      <c r="AH131" s="1435">
        <v>8.4151661353615896</v>
      </c>
      <c r="AI131" s="1435">
        <v>8.1282468652992996</v>
      </c>
      <c r="AJ131" s="1435">
        <v>7.8511095949104641</v>
      </c>
      <c r="AK131" s="1435">
        <v>7.5834208463818156</v>
      </c>
      <c r="AL131" s="1435">
        <v>7.3248585097434207</v>
      </c>
      <c r="AM131" s="1435">
        <v>7.0751114553777814</v>
      </c>
      <c r="AN131" s="1435">
        <v>6.8341694670941155</v>
      </c>
      <c r="AO131" s="1435">
        <v>6.6017128144155608</v>
      </c>
      <c r="AP131" s="1435">
        <v>6.3777046591160556</v>
      </c>
      <c r="AQ131" s="1435">
        <v>6.1618211023418272</v>
      </c>
      <c r="AR131" s="1435">
        <v>5.9534981238828291</v>
      </c>
      <c r="AS131" s="1435">
        <v>5.7784223346649339</v>
      </c>
      <c r="AT131" s="1435">
        <v>5.6084945664312711</v>
      </c>
      <c r="AU131" s="1435">
        <v>5.4435634576147462</v>
      </c>
      <c r="AV131" s="1435">
        <v>5.2834820965737634</v>
      </c>
      <c r="AW131" s="1435">
        <v>5.1281078907787787</v>
      </c>
      <c r="AX131" s="1435">
        <v>4.9773024398440207</v>
      </c>
      <c r="AY131" s="1435">
        <v>4.8309314122913598</v>
      </c>
      <c r="AZ131" s="1435">
        <v>4.6888644259366385</v>
      </c>
      <c r="BA131" s="1435">
        <v>4.5509749317919841</v>
      </c>
      <c r="BB131" s="1435">
        <v>4.4171401013807605</v>
      </c>
      <c r="BC131" s="1435">
        <v>4.2878733430284965</v>
      </c>
      <c r="BD131" s="1435">
        <v>4.163003666407282</v>
      </c>
      <c r="BE131" s="1435">
        <v>4.0429630135712795</v>
      </c>
      <c r="BF131" s="1435">
        <v>3.9275412771198184</v>
      </c>
      <c r="BG131" s="1435">
        <v>3.8159754243171848</v>
      </c>
      <c r="BH131" s="1435">
        <v>3.7037567181417779</v>
      </c>
      <c r="BI131" s="1435">
        <v>3.5948377934347042</v>
      </c>
      <c r="BJ131" s="1435">
        <v>3.4891216291202873</v>
      </c>
      <c r="BK131" s="1435">
        <v>3.3865140565115355</v>
      </c>
      <c r="BL131" s="1435">
        <v>3.2869236754580782</v>
      </c>
      <c r="BM131" s="1435">
        <v>3.1903977654487017</v>
      </c>
      <c r="BN131" s="1435">
        <v>3.0968383387979395</v>
      </c>
      <c r="BO131" s="1435">
        <v>3.0062788174706752</v>
      </c>
      <c r="BP131" s="1435">
        <v>2.9186163524164668</v>
      </c>
      <c r="BQ131" s="1435">
        <v>2.8336309307868763</v>
      </c>
      <c r="BR131" s="1435">
        <v>2.7502989897776584</v>
      </c>
      <c r="BS131" s="1435">
        <v>2.6694174645631996</v>
      </c>
      <c r="BT131" s="1435">
        <v>2.5909143059878725</v>
      </c>
      <c r="BU131" s="1435">
        <v>2.514719583157524</v>
      </c>
      <c r="BV131" s="1435">
        <v>2.4407654211675243</v>
      </c>
      <c r="BW131" s="1435">
        <v>2.3689859406613034</v>
      </c>
      <c r="BX131" s="1435">
        <v>2.2993171991655772</v>
      </c>
      <c r="BY131" s="1435">
        <v>2.2316971341500476</v>
      </c>
      <c r="BZ131" s="1435">
        <v>2.1660655077608832</v>
      </c>
      <c r="CA131" s="1435">
        <v>2.1023638531787836</v>
      </c>
      <c r="CB131" s="1435">
        <v>2.0405354225538797</v>
      </c>
      <c r="CC131" s="1435">
        <v>1.9805251364711174</v>
      </c>
      <c r="CD131" s="1435">
        <v>1.9222795349011428</v>
      </c>
      <c r="CE131" s="1435">
        <v>1.8657467295930215</v>
      </c>
      <c r="CF131" s="1435">
        <v>1.8108763578664169</v>
      </c>
      <c r="CG131" s="1435">
        <v>1.7576195377620858</v>
      </c>
      <c r="CH131" s="1435">
        <v>1.7059288245107744</v>
      </c>
      <c r="CI131" s="1435">
        <v>1.6557581682817504</v>
      </c>
      <c r="CJ131" s="1435">
        <v>1.6070628731733729</v>
      </c>
      <c r="CK131" s="1435">
        <v>1.5597995574091792</v>
      </c>
      <c r="CL131" s="1435">
        <v>1.5213763877451696</v>
      </c>
      <c r="CM131" s="1435">
        <v>1.4839632949549426</v>
      </c>
      <c r="CN131" s="1435">
        <v>1.4475944339031741</v>
      </c>
      <c r="CO131" s="1435">
        <v>1.412238092533574</v>
      </c>
      <c r="CP131" s="1436">
        <v>1.3778044292067073</v>
      </c>
    </row>
    <row r="132" spans="2:94" s="1278" customFormat="1" ht="47" thickBot="1" x14ac:dyDescent="0.35">
      <c r="B132" s="1730"/>
      <c r="C132" s="1454" t="s">
        <v>2202</v>
      </c>
      <c r="D132" s="1438" t="s">
        <v>2176</v>
      </c>
      <c r="E132" s="1443" t="s">
        <v>1327</v>
      </c>
      <c r="F132" s="1455"/>
      <c r="G132" s="1455"/>
      <c r="H132" s="1456" t="s">
        <v>163</v>
      </c>
      <c r="I132" s="1731">
        <f>IF(SUM($N131:$CP131)&lt;&gt;0,SUM($N131:$CP131),"")</f>
        <v>386.25152814348024</v>
      </c>
      <c r="J132" s="1732"/>
      <c r="K132" s="1732"/>
      <c r="L132" s="1732"/>
      <c r="M132" s="1733"/>
    </row>
    <row r="133" spans="2:94" s="1278" customFormat="1" ht="14.5" thickBot="1" x14ac:dyDescent="0.35">
      <c r="B133" s="1341"/>
      <c r="C133" s="1334"/>
      <c r="D133" s="1334"/>
      <c r="E133" s="1335"/>
      <c r="F133" s="1334"/>
      <c r="G133" s="1334"/>
      <c r="H133" s="1334"/>
      <c r="I133" s="1336"/>
      <c r="J133" s="1337"/>
    </row>
    <row r="134" spans="2:94" ht="14.5" thickBot="1" x14ac:dyDescent="0.35">
      <c r="B134" s="1736" t="s">
        <v>1350</v>
      </c>
      <c r="C134" s="1737"/>
      <c r="D134" s="1338"/>
      <c r="E134" s="1339"/>
      <c r="F134" s="1338"/>
      <c r="G134" s="1338"/>
      <c r="H134" s="1338"/>
      <c r="I134" s="1345"/>
      <c r="J134" s="1346"/>
      <c r="K134" s="1340"/>
      <c r="L134" s="1340"/>
      <c r="M134" s="1340"/>
      <c r="N134" s="1340"/>
      <c r="O134" s="1340"/>
      <c r="P134" s="1340"/>
      <c r="Q134" s="1340"/>
      <c r="R134" s="1340"/>
      <c r="S134" s="1340"/>
      <c r="T134" s="1340"/>
      <c r="U134" s="1340"/>
      <c r="V134" s="1340"/>
      <c r="W134" s="1340"/>
      <c r="X134" s="1340"/>
      <c r="Y134" s="1340"/>
      <c r="Z134" s="1340"/>
      <c r="AA134" s="1340"/>
      <c r="AB134" s="1340"/>
      <c r="AC134" s="1340"/>
      <c r="AD134" s="1340"/>
      <c r="AE134" s="1340"/>
      <c r="AF134" s="1340"/>
      <c r="AG134" s="1340"/>
      <c r="AH134" s="1340"/>
      <c r="AI134" s="1340"/>
      <c r="AJ134" s="1340"/>
      <c r="AK134" s="1340"/>
      <c r="AL134" s="1340"/>
      <c r="AM134" s="1340"/>
      <c r="AN134" s="1340"/>
      <c r="AO134" s="1340"/>
      <c r="AP134" s="1340"/>
      <c r="AQ134" s="1340"/>
      <c r="AR134" s="1340"/>
      <c r="AS134" s="1340"/>
      <c r="AT134" s="1340"/>
      <c r="AU134" s="1340"/>
      <c r="AV134" s="1340"/>
      <c r="AW134" s="1340"/>
      <c r="AX134" s="1340"/>
      <c r="AY134" s="1340"/>
      <c r="AZ134" s="1340"/>
      <c r="BA134" s="1340"/>
      <c r="BB134" s="1340"/>
      <c r="BC134" s="1340"/>
      <c r="BD134" s="1340"/>
      <c r="BE134" s="1340"/>
      <c r="BF134" s="1340"/>
      <c r="BG134" s="1340"/>
      <c r="BH134" s="1340"/>
      <c r="BI134" s="1340"/>
      <c r="BJ134" s="1340"/>
      <c r="BK134" s="1340"/>
      <c r="BL134" s="1340"/>
      <c r="BM134" s="1340"/>
      <c r="BN134" s="1340"/>
      <c r="BO134" s="1340"/>
      <c r="BP134" s="1340"/>
      <c r="BQ134" s="1340"/>
      <c r="BR134" s="1340"/>
      <c r="BS134" s="1340"/>
      <c r="BT134" s="1340"/>
      <c r="BU134" s="1340"/>
      <c r="BV134" s="1340"/>
      <c r="BW134" s="1340"/>
      <c r="BX134" s="1340"/>
      <c r="BY134" s="1340"/>
      <c r="BZ134" s="1340"/>
      <c r="CA134" s="1340"/>
      <c r="CB134" s="1340"/>
      <c r="CC134" s="1340"/>
      <c r="CD134" s="1340"/>
      <c r="CE134" s="1340"/>
      <c r="CF134" s="1340"/>
      <c r="CG134" s="1340"/>
      <c r="CH134" s="1340"/>
      <c r="CI134" s="1340"/>
      <c r="CJ134" s="1340"/>
      <c r="CK134" s="1340"/>
      <c r="CL134" s="1340"/>
      <c r="CM134" s="1340"/>
      <c r="CN134" s="1340"/>
      <c r="CO134" s="1340"/>
      <c r="CP134" s="1340"/>
    </row>
    <row r="135" spans="2:94" ht="112.5" thickBot="1" x14ac:dyDescent="0.35">
      <c r="B135" s="1342" t="s">
        <v>1304</v>
      </c>
      <c r="C135" s="1343" t="s">
        <v>795</v>
      </c>
      <c r="D135" s="1332" t="s">
        <v>796</v>
      </c>
      <c r="E135" s="1332" t="s">
        <v>1305</v>
      </c>
      <c r="F135" s="1332" t="s">
        <v>1306</v>
      </c>
      <c r="G135" s="1332" t="s">
        <v>1307</v>
      </c>
      <c r="H135" s="1333"/>
      <c r="I135" s="469" t="s">
        <v>221</v>
      </c>
      <c r="J135" s="470" t="s">
        <v>222</v>
      </c>
      <c r="K135" s="470" t="s">
        <v>223</v>
      </c>
      <c r="L135" s="470" t="s">
        <v>224</v>
      </c>
      <c r="M135" s="470" t="s">
        <v>225</v>
      </c>
      <c r="N135" s="470" t="s">
        <v>226</v>
      </c>
      <c r="O135" s="470" t="s">
        <v>227</v>
      </c>
      <c r="P135" s="470" t="s">
        <v>228</v>
      </c>
      <c r="Q135" s="470" t="s">
        <v>229</v>
      </c>
      <c r="R135" s="470" t="s">
        <v>230</v>
      </c>
      <c r="S135" s="470" t="s">
        <v>231</v>
      </c>
      <c r="T135" s="470" t="s">
        <v>232</v>
      </c>
      <c r="U135" s="470" t="s">
        <v>233</v>
      </c>
      <c r="V135" s="470" t="s">
        <v>234</v>
      </c>
      <c r="W135" s="470" t="s">
        <v>235</v>
      </c>
      <c r="X135" s="470" t="s">
        <v>236</v>
      </c>
      <c r="Y135" s="470" t="s">
        <v>237</v>
      </c>
      <c r="Z135" s="470" t="s">
        <v>238</v>
      </c>
      <c r="AA135" s="470" t="s">
        <v>239</v>
      </c>
      <c r="AB135" s="470" t="s">
        <v>240</v>
      </c>
      <c r="AC135" s="470" t="s">
        <v>241</v>
      </c>
      <c r="AD135" s="470" t="s">
        <v>242</v>
      </c>
      <c r="AE135" s="470" t="s">
        <v>243</v>
      </c>
      <c r="AF135" s="470" t="s">
        <v>244</v>
      </c>
      <c r="AG135" s="470" t="s">
        <v>245</v>
      </c>
      <c r="AH135" s="470" t="s">
        <v>246</v>
      </c>
      <c r="AI135" s="470" t="s">
        <v>247</v>
      </c>
      <c r="AJ135" s="470" t="s">
        <v>248</v>
      </c>
      <c r="AK135" s="470" t="s">
        <v>249</v>
      </c>
      <c r="AL135" s="470" t="s">
        <v>250</v>
      </c>
      <c r="AM135" s="470" t="s">
        <v>251</v>
      </c>
      <c r="AN135" s="470" t="s">
        <v>252</v>
      </c>
      <c r="AO135" s="470" t="s">
        <v>253</v>
      </c>
      <c r="AP135" s="470" t="s">
        <v>254</v>
      </c>
      <c r="AQ135" s="470" t="s">
        <v>255</v>
      </c>
      <c r="AR135" s="470" t="s">
        <v>256</v>
      </c>
      <c r="AS135" s="470" t="s">
        <v>257</v>
      </c>
      <c r="AT135" s="470" t="s">
        <v>258</v>
      </c>
      <c r="AU135" s="470" t="s">
        <v>259</v>
      </c>
      <c r="AV135" s="470" t="s">
        <v>260</v>
      </c>
      <c r="AW135" s="470" t="s">
        <v>261</v>
      </c>
      <c r="AX135" s="470" t="s">
        <v>262</v>
      </c>
      <c r="AY135" s="470" t="s">
        <v>263</v>
      </c>
      <c r="AZ135" s="470" t="s">
        <v>264</v>
      </c>
      <c r="BA135" s="470" t="s">
        <v>265</v>
      </c>
      <c r="BB135" s="470" t="s">
        <v>266</v>
      </c>
      <c r="BC135" s="470" t="s">
        <v>267</v>
      </c>
      <c r="BD135" s="470" t="s">
        <v>268</v>
      </c>
      <c r="BE135" s="470" t="s">
        <v>269</v>
      </c>
      <c r="BF135" s="470" t="s">
        <v>270</v>
      </c>
      <c r="BG135" s="470" t="s">
        <v>271</v>
      </c>
      <c r="BH135" s="470" t="s">
        <v>272</v>
      </c>
      <c r="BI135" s="470" t="s">
        <v>273</v>
      </c>
      <c r="BJ135" s="470" t="s">
        <v>274</v>
      </c>
      <c r="BK135" s="470" t="s">
        <v>275</v>
      </c>
      <c r="BL135" s="470" t="s">
        <v>276</v>
      </c>
      <c r="BM135" s="470" t="s">
        <v>277</v>
      </c>
      <c r="BN135" s="470" t="s">
        <v>278</v>
      </c>
      <c r="BO135" s="470" t="s">
        <v>279</v>
      </c>
      <c r="BP135" s="470" t="s">
        <v>280</v>
      </c>
      <c r="BQ135" s="470" t="s">
        <v>281</v>
      </c>
      <c r="BR135" s="470" t="s">
        <v>282</v>
      </c>
      <c r="BS135" s="470" t="s">
        <v>283</v>
      </c>
      <c r="BT135" s="470" t="s">
        <v>284</v>
      </c>
      <c r="BU135" s="470" t="s">
        <v>285</v>
      </c>
      <c r="BV135" s="470" t="s">
        <v>286</v>
      </c>
      <c r="BW135" s="470" t="s">
        <v>287</v>
      </c>
      <c r="BX135" s="470" t="s">
        <v>288</v>
      </c>
      <c r="BY135" s="470" t="s">
        <v>289</v>
      </c>
      <c r="BZ135" s="470" t="s">
        <v>290</v>
      </c>
      <c r="CA135" s="470" t="s">
        <v>291</v>
      </c>
      <c r="CB135" s="470" t="s">
        <v>292</v>
      </c>
      <c r="CC135" s="470" t="s">
        <v>293</v>
      </c>
      <c r="CD135" s="470" t="s">
        <v>294</v>
      </c>
      <c r="CE135" s="470" t="s">
        <v>295</v>
      </c>
      <c r="CF135" s="470" t="s">
        <v>296</v>
      </c>
      <c r="CG135" s="470" t="s">
        <v>297</v>
      </c>
      <c r="CH135" s="470" t="s">
        <v>298</v>
      </c>
      <c r="CI135" s="470" t="s">
        <v>299</v>
      </c>
      <c r="CJ135" s="470" t="s">
        <v>300</v>
      </c>
      <c r="CK135" s="470" t="s">
        <v>301</v>
      </c>
      <c r="CL135" s="470" t="s">
        <v>658</v>
      </c>
      <c r="CM135" s="470" t="s">
        <v>1309</v>
      </c>
      <c r="CN135" s="470" t="s">
        <v>1310</v>
      </c>
      <c r="CO135" s="470" t="s">
        <v>1311</v>
      </c>
      <c r="CP135" s="471" t="s">
        <v>1312</v>
      </c>
    </row>
    <row r="136" spans="2:94" ht="46.5" x14ac:dyDescent="0.3">
      <c r="B136" s="1728" t="s">
        <v>1351</v>
      </c>
      <c r="C136" s="1448" t="s">
        <v>1331</v>
      </c>
      <c r="D136" s="1449" t="s">
        <v>1332</v>
      </c>
      <c r="E136" s="1269" t="s">
        <v>1317</v>
      </c>
      <c r="F136" s="1270" t="s">
        <v>1352</v>
      </c>
      <c r="G136" s="1270"/>
      <c r="H136" s="1269" t="s">
        <v>1324</v>
      </c>
      <c r="I136" s="1268"/>
      <c r="J136" s="1267"/>
      <c r="K136" s="1266"/>
      <c r="L136" s="1265"/>
      <c r="M136" s="1265"/>
      <c r="N136" s="1457"/>
      <c r="O136" s="1458">
        <v>0</v>
      </c>
      <c r="P136" s="1458">
        <v>0</v>
      </c>
      <c r="Q136" s="1458">
        <v>0</v>
      </c>
      <c r="R136" s="1458">
        <v>0</v>
      </c>
      <c r="S136" s="1458">
        <v>0</v>
      </c>
      <c r="T136" s="1458">
        <v>0</v>
      </c>
      <c r="U136" s="1458">
        <v>0</v>
      </c>
      <c r="V136" s="1458">
        <v>0</v>
      </c>
      <c r="W136" s="1458">
        <v>0</v>
      </c>
      <c r="X136" s="1458">
        <v>0</v>
      </c>
      <c r="Y136" s="1458">
        <v>3.7088558182357505E-2</v>
      </c>
      <c r="Z136" s="1458">
        <v>3.7088558182357505E-2</v>
      </c>
      <c r="AA136" s="1458">
        <v>3.7088558182357505E-2</v>
      </c>
      <c r="AB136" s="1458">
        <v>3.7088558182357505E-2</v>
      </c>
      <c r="AC136" s="1458">
        <v>3.7088558182357505E-2</v>
      </c>
      <c r="AD136" s="1458">
        <v>3.7088558182357505E-2</v>
      </c>
      <c r="AE136" s="1458">
        <v>3.7088558182357505E-2</v>
      </c>
      <c r="AF136" s="1458">
        <v>3.7088558182357505E-2</v>
      </c>
      <c r="AG136" s="1458">
        <v>3.7088558182357505E-2</v>
      </c>
      <c r="AH136" s="1458">
        <v>3.7088558182357505E-2</v>
      </c>
      <c r="AI136" s="1458">
        <v>3.7088558182357505E-2</v>
      </c>
      <c r="AJ136" s="1458">
        <v>3.7088558182357505E-2</v>
      </c>
      <c r="AK136" s="1458">
        <v>3.7088558182357505E-2</v>
      </c>
      <c r="AL136" s="1458">
        <v>3.7088558182357505E-2</v>
      </c>
      <c r="AM136" s="1458">
        <v>3.7088558182357505E-2</v>
      </c>
      <c r="AN136" s="1458">
        <v>3.7088558182357505E-2</v>
      </c>
      <c r="AO136" s="1458">
        <v>3.7088558182357505E-2</v>
      </c>
      <c r="AP136" s="1458">
        <v>3.7088558182357505E-2</v>
      </c>
      <c r="AQ136" s="1458">
        <v>3.7088558182357505E-2</v>
      </c>
      <c r="AR136" s="1458">
        <v>3.7088558182357505E-2</v>
      </c>
      <c r="AS136" s="1458">
        <v>3.7088558182357505E-2</v>
      </c>
      <c r="AT136" s="1458">
        <v>3.7088558182357505E-2</v>
      </c>
      <c r="AU136" s="1458">
        <v>3.7088558182357505E-2</v>
      </c>
      <c r="AV136" s="1458">
        <v>3.7088558182357505E-2</v>
      </c>
      <c r="AW136" s="1458">
        <v>3.7088558182357505E-2</v>
      </c>
      <c r="AX136" s="1458">
        <v>3.7088558182357505E-2</v>
      </c>
      <c r="AY136" s="1458">
        <v>3.7088558182357505E-2</v>
      </c>
      <c r="AZ136" s="1458">
        <v>3.7088558182357505E-2</v>
      </c>
      <c r="BA136" s="1458">
        <v>3.7088558182357505E-2</v>
      </c>
      <c r="BB136" s="1458">
        <v>3.7088558182357505E-2</v>
      </c>
      <c r="BC136" s="1458">
        <v>3.7088558182357505E-2</v>
      </c>
      <c r="BD136" s="1458">
        <v>3.7088558182357505E-2</v>
      </c>
      <c r="BE136" s="1458">
        <v>3.7088558182357505E-2</v>
      </c>
      <c r="BF136" s="1458">
        <v>3.7088558182357505E-2</v>
      </c>
      <c r="BG136" s="1458">
        <v>3.7088558182357505E-2</v>
      </c>
      <c r="BH136" s="1458">
        <v>3.7088558182357505E-2</v>
      </c>
      <c r="BI136" s="1458">
        <v>3.7088558182357505E-2</v>
      </c>
      <c r="BJ136" s="1458">
        <v>3.7088558182357505E-2</v>
      </c>
      <c r="BK136" s="1458">
        <v>3.7088558182357505E-2</v>
      </c>
      <c r="BL136" s="1458">
        <v>3.7088558182357505E-2</v>
      </c>
      <c r="BM136" s="1458">
        <v>3.7088558182357505E-2</v>
      </c>
      <c r="BN136" s="1458">
        <v>3.7088558182357505E-2</v>
      </c>
      <c r="BO136" s="1458">
        <v>3.7088558182357505E-2</v>
      </c>
      <c r="BP136" s="1458">
        <v>3.7088558182357505E-2</v>
      </c>
      <c r="BQ136" s="1458">
        <v>3.7088558182357505E-2</v>
      </c>
      <c r="BR136" s="1458">
        <v>3.7088558182357505E-2</v>
      </c>
      <c r="BS136" s="1458">
        <v>3.7088558182357505E-2</v>
      </c>
      <c r="BT136" s="1458">
        <v>3.7088558182357505E-2</v>
      </c>
      <c r="BU136" s="1458">
        <v>3.7088558182357505E-2</v>
      </c>
      <c r="BV136" s="1458">
        <v>3.7088558182357505E-2</v>
      </c>
      <c r="BW136" s="1458">
        <v>3.7088558182357505E-2</v>
      </c>
      <c r="BX136" s="1458">
        <v>3.7088558182357505E-2</v>
      </c>
      <c r="BY136" s="1458">
        <v>3.7088558182357505E-2</v>
      </c>
      <c r="BZ136" s="1458">
        <v>3.7088558182357505E-2</v>
      </c>
      <c r="CA136" s="1458">
        <v>3.7088558182357505E-2</v>
      </c>
      <c r="CB136" s="1458">
        <v>3.7088558182357505E-2</v>
      </c>
      <c r="CC136" s="1458">
        <v>3.7088558182357505E-2</v>
      </c>
      <c r="CD136" s="1458">
        <v>3.7088558182357505E-2</v>
      </c>
      <c r="CE136" s="1458">
        <v>3.7088558182357505E-2</v>
      </c>
      <c r="CF136" s="1458">
        <v>3.7088558182357505E-2</v>
      </c>
      <c r="CG136" s="1458">
        <v>3.7088558182357505E-2</v>
      </c>
      <c r="CH136" s="1458">
        <v>3.7088558182357505E-2</v>
      </c>
      <c r="CI136" s="1458">
        <v>3.7088558182357505E-2</v>
      </c>
      <c r="CJ136" s="1458">
        <v>3.7088558182357505E-2</v>
      </c>
      <c r="CK136" s="1458">
        <v>3.7088558182357505E-2</v>
      </c>
      <c r="CL136" s="1458">
        <v>3.7088558182357505E-2</v>
      </c>
      <c r="CM136" s="1458">
        <v>3.7088558182357505E-2</v>
      </c>
      <c r="CN136" s="1458">
        <v>3.7088558182357505E-2</v>
      </c>
      <c r="CO136" s="1458">
        <v>3.7088558182357505E-2</v>
      </c>
      <c r="CP136" s="1459">
        <v>3.7088558182357505E-2</v>
      </c>
    </row>
    <row r="137" spans="2:94" ht="46.5" x14ac:dyDescent="0.3">
      <c r="B137" s="1729"/>
      <c r="C137" s="1444" t="s">
        <v>1331</v>
      </c>
      <c r="D137" s="1446" t="s">
        <v>1332</v>
      </c>
      <c r="E137" s="1260" t="s">
        <v>1317</v>
      </c>
      <c r="F137" s="1264" t="s">
        <v>1352</v>
      </c>
      <c r="G137" s="1264"/>
      <c r="H137" s="1260" t="s">
        <v>1353</v>
      </c>
      <c r="I137" s="1262"/>
      <c r="J137" s="1263"/>
      <c r="K137" s="1261"/>
      <c r="L137" s="1259"/>
      <c r="M137" s="1259"/>
      <c r="N137" s="1460"/>
      <c r="O137" s="1461">
        <v>0</v>
      </c>
      <c r="P137" s="1461">
        <v>0</v>
      </c>
      <c r="Q137" s="1461">
        <v>0</v>
      </c>
      <c r="R137" s="1461">
        <v>0</v>
      </c>
      <c r="S137" s="1461">
        <v>0</v>
      </c>
      <c r="T137" s="1461">
        <v>0</v>
      </c>
      <c r="U137" s="1461">
        <v>0</v>
      </c>
      <c r="V137" s="1461">
        <v>0</v>
      </c>
      <c r="W137" s="1461">
        <v>0</v>
      </c>
      <c r="X137" s="1461">
        <v>0</v>
      </c>
      <c r="Y137" s="1461">
        <v>7.6999394009486605E-2</v>
      </c>
      <c r="Z137" s="1461">
        <v>7.6999394009486605E-2</v>
      </c>
      <c r="AA137" s="1461">
        <v>7.6999394009486605E-2</v>
      </c>
      <c r="AB137" s="1461">
        <v>7.6999394009486605E-2</v>
      </c>
      <c r="AC137" s="1461">
        <v>7.6999394009486605E-2</v>
      </c>
      <c r="AD137" s="1461">
        <v>7.6999394009486605E-2</v>
      </c>
      <c r="AE137" s="1461">
        <v>7.6999394009486605E-2</v>
      </c>
      <c r="AF137" s="1461">
        <v>7.6999394009486605E-2</v>
      </c>
      <c r="AG137" s="1461">
        <v>7.6999394009486605E-2</v>
      </c>
      <c r="AH137" s="1461">
        <v>7.6999394009486605E-2</v>
      </c>
      <c r="AI137" s="1461">
        <v>7.6999394009486605E-2</v>
      </c>
      <c r="AJ137" s="1461">
        <v>7.6999394009486605E-2</v>
      </c>
      <c r="AK137" s="1461">
        <v>7.6999394009486605E-2</v>
      </c>
      <c r="AL137" s="1461">
        <v>7.6999394009486605E-2</v>
      </c>
      <c r="AM137" s="1461">
        <v>7.6999394009486605E-2</v>
      </c>
      <c r="AN137" s="1461">
        <v>7.6999394009486605E-2</v>
      </c>
      <c r="AO137" s="1461">
        <v>7.6999394009486605E-2</v>
      </c>
      <c r="AP137" s="1461">
        <v>7.6999394009486605E-2</v>
      </c>
      <c r="AQ137" s="1461">
        <v>7.6999394009486605E-2</v>
      </c>
      <c r="AR137" s="1461">
        <v>7.6999394009486605E-2</v>
      </c>
      <c r="AS137" s="1461">
        <v>7.6999394009486605E-2</v>
      </c>
      <c r="AT137" s="1461">
        <v>7.6999394009486605E-2</v>
      </c>
      <c r="AU137" s="1461">
        <v>7.6999394009486605E-2</v>
      </c>
      <c r="AV137" s="1461">
        <v>7.6999394009486605E-2</v>
      </c>
      <c r="AW137" s="1461">
        <v>7.6999394009486605E-2</v>
      </c>
      <c r="AX137" s="1461">
        <v>7.6999394009486605E-2</v>
      </c>
      <c r="AY137" s="1461">
        <v>7.6999394009486605E-2</v>
      </c>
      <c r="AZ137" s="1461">
        <v>7.6999394009486605E-2</v>
      </c>
      <c r="BA137" s="1461">
        <v>7.6999394009486605E-2</v>
      </c>
      <c r="BB137" s="1461">
        <v>7.6999394009486605E-2</v>
      </c>
      <c r="BC137" s="1461">
        <v>7.6999394009486605E-2</v>
      </c>
      <c r="BD137" s="1461">
        <v>7.6999394009486605E-2</v>
      </c>
      <c r="BE137" s="1461">
        <v>7.6999394009486605E-2</v>
      </c>
      <c r="BF137" s="1461">
        <v>7.6999394009486605E-2</v>
      </c>
      <c r="BG137" s="1461">
        <v>7.6999394009486605E-2</v>
      </c>
      <c r="BH137" s="1461">
        <v>7.6999394009486605E-2</v>
      </c>
      <c r="BI137" s="1461">
        <v>7.6999394009486605E-2</v>
      </c>
      <c r="BJ137" s="1461">
        <v>7.6999394009486605E-2</v>
      </c>
      <c r="BK137" s="1461">
        <v>7.6999394009486605E-2</v>
      </c>
      <c r="BL137" s="1461">
        <v>7.6999394009486605E-2</v>
      </c>
      <c r="BM137" s="1461">
        <v>7.6999394009486605E-2</v>
      </c>
      <c r="BN137" s="1461">
        <v>7.6999394009486605E-2</v>
      </c>
      <c r="BO137" s="1461">
        <v>7.6999394009486605E-2</v>
      </c>
      <c r="BP137" s="1461">
        <v>7.6999394009486605E-2</v>
      </c>
      <c r="BQ137" s="1461">
        <v>7.6999394009486605E-2</v>
      </c>
      <c r="BR137" s="1461">
        <v>7.6999394009486605E-2</v>
      </c>
      <c r="BS137" s="1461">
        <v>7.6999394009486605E-2</v>
      </c>
      <c r="BT137" s="1461">
        <v>7.6999394009486605E-2</v>
      </c>
      <c r="BU137" s="1461">
        <v>7.6999394009486605E-2</v>
      </c>
      <c r="BV137" s="1461">
        <v>7.6999394009486605E-2</v>
      </c>
      <c r="BW137" s="1461">
        <v>7.6999394009486605E-2</v>
      </c>
      <c r="BX137" s="1461">
        <v>7.6999394009486605E-2</v>
      </c>
      <c r="BY137" s="1461">
        <v>7.6999394009486605E-2</v>
      </c>
      <c r="BZ137" s="1461">
        <v>7.6999394009486605E-2</v>
      </c>
      <c r="CA137" s="1461">
        <v>7.6999394009486605E-2</v>
      </c>
      <c r="CB137" s="1461">
        <v>7.6999394009486605E-2</v>
      </c>
      <c r="CC137" s="1461">
        <v>7.6999394009486605E-2</v>
      </c>
      <c r="CD137" s="1461">
        <v>7.6999394009486605E-2</v>
      </c>
      <c r="CE137" s="1461">
        <v>7.6999394009486605E-2</v>
      </c>
      <c r="CF137" s="1461">
        <v>7.6999394009486605E-2</v>
      </c>
      <c r="CG137" s="1461">
        <v>7.6999394009486605E-2</v>
      </c>
      <c r="CH137" s="1461">
        <v>7.6999394009486605E-2</v>
      </c>
      <c r="CI137" s="1461">
        <v>7.6999394009486605E-2</v>
      </c>
      <c r="CJ137" s="1461">
        <v>7.6999394009486605E-2</v>
      </c>
      <c r="CK137" s="1461">
        <v>7.6999394009486605E-2</v>
      </c>
      <c r="CL137" s="1461">
        <v>7.6999394009486605E-2</v>
      </c>
      <c r="CM137" s="1461">
        <v>7.6999394009486605E-2</v>
      </c>
      <c r="CN137" s="1461">
        <v>7.6999394009486605E-2</v>
      </c>
      <c r="CO137" s="1461">
        <v>7.6999394009486605E-2</v>
      </c>
      <c r="CP137" s="1462">
        <v>7.6999394009486605E-2</v>
      </c>
    </row>
    <row r="138" spans="2:94" ht="46.5" x14ac:dyDescent="0.3">
      <c r="B138" s="1729"/>
      <c r="C138" s="1444" t="s">
        <v>1331</v>
      </c>
      <c r="D138" s="1446" t="s">
        <v>1332</v>
      </c>
      <c r="E138" s="1264" t="s">
        <v>1322</v>
      </c>
      <c r="F138" s="1409" t="s">
        <v>1354</v>
      </c>
      <c r="G138" s="1463">
        <v>80</v>
      </c>
      <c r="H138" s="1409" t="s">
        <v>1324</v>
      </c>
      <c r="I138" s="1259"/>
      <c r="J138" s="1259"/>
      <c r="K138" s="1259"/>
      <c r="L138" s="1259"/>
      <c r="M138" s="1259"/>
      <c r="N138" s="1460"/>
      <c r="O138" s="1461">
        <v>4.7688930966576538E-3</v>
      </c>
      <c r="P138" s="1461">
        <v>7.1533396449864799E-3</v>
      </c>
      <c r="Q138" s="1461">
        <v>1.1922232741644136E-2</v>
      </c>
      <c r="R138" s="1461">
        <v>1.1922232741644136E-2</v>
      </c>
      <c r="S138" s="1461">
        <v>1.1922232741644136E-2</v>
      </c>
      <c r="T138" s="1461">
        <v>1.1922232741644136E-2</v>
      </c>
      <c r="U138" s="1461">
        <v>2.3844465483288273E-2</v>
      </c>
      <c r="V138" s="1461">
        <v>3.5766698224932406E-2</v>
      </c>
      <c r="W138" s="1461">
        <v>5.9611163708220671E-2</v>
      </c>
      <c r="X138" s="1461">
        <v>5.9611163708220671E-2</v>
      </c>
      <c r="Y138" s="1461">
        <v>0</v>
      </c>
      <c r="Z138" s="1461">
        <v>0</v>
      </c>
      <c r="AA138" s="1461">
        <v>0</v>
      </c>
      <c r="AB138" s="1461">
        <v>0</v>
      </c>
      <c r="AC138" s="1461">
        <v>0</v>
      </c>
      <c r="AD138" s="1461">
        <v>0</v>
      </c>
      <c r="AE138" s="1461">
        <v>0</v>
      </c>
      <c r="AF138" s="1461">
        <v>0</v>
      </c>
      <c r="AG138" s="1461">
        <v>0</v>
      </c>
      <c r="AH138" s="1461">
        <v>0</v>
      </c>
      <c r="AI138" s="1461">
        <v>0</v>
      </c>
      <c r="AJ138" s="1461">
        <v>0</v>
      </c>
      <c r="AK138" s="1461">
        <v>0</v>
      </c>
      <c r="AL138" s="1461">
        <v>0</v>
      </c>
      <c r="AM138" s="1461">
        <v>0</v>
      </c>
      <c r="AN138" s="1461">
        <v>0</v>
      </c>
      <c r="AO138" s="1461">
        <v>0</v>
      </c>
      <c r="AP138" s="1461">
        <v>0</v>
      </c>
      <c r="AQ138" s="1461">
        <v>0</v>
      </c>
      <c r="AR138" s="1461">
        <v>0</v>
      </c>
      <c r="AS138" s="1461">
        <v>0</v>
      </c>
      <c r="AT138" s="1461">
        <v>0</v>
      </c>
      <c r="AU138" s="1461">
        <v>0</v>
      </c>
      <c r="AV138" s="1461">
        <v>0</v>
      </c>
      <c r="AW138" s="1461">
        <v>0</v>
      </c>
      <c r="AX138" s="1461">
        <v>0</v>
      </c>
      <c r="AY138" s="1461">
        <v>0</v>
      </c>
      <c r="AZ138" s="1461">
        <v>0</v>
      </c>
      <c r="BA138" s="1461">
        <v>0</v>
      </c>
      <c r="BB138" s="1461">
        <v>0</v>
      </c>
      <c r="BC138" s="1461">
        <v>0</v>
      </c>
      <c r="BD138" s="1461">
        <v>0</v>
      </c>
      <c r="BE138" s="1461">
        <v>0</v>
      </c>
      <c r="BF138" s="1461">
        <v>0</v>
      </c>
      <c r="BG138" s="1461">
        <v>0</v>
      </c>
      <c r="BH138" s="1461">
        <v>0</v>
      </c>
      <c r="BI138" s="1461">
        <v>0</v>
      </c>
      <c r="BJ138" s="1461">
        <v>0</v>
      </c>
      <c r="BK138" s="1461">
        <v>0</v>
      </c>
      <c r="BL138" s="1461">
        <v>0</v>
      </c>
      <c r="BM138" s="1461">
        <v>0</v>
      </c>
      <c r="BN138" s="1461">
        <v>0</v>
      </c>
      <c r="BO138" s="1461">
        <v>0</v>
      </c>
      <c r="BP138" s="1461">
        <v>0</v>
      </c>
      <c r="BQ138" s="1461">
        <v>0</v>
      </c>
      <c r="BR138" s="1461">
        <v>0</v>
      </c>
      <c r="BS138" s="1461">
        <v>0</v>
      </c>
      <c r="BT138" s="1461">
        <v>0</v>
      </c>
      <c r="BU138" s="1461">
        <v>0</v>
      </c>
      <c r="BV138" s="1461">
        <v>0</v>
      </c>
      <c r="BW138" s="1461">
        <v>0</v>
      </c>
      <c r="BX138" s="1461">
        <v>0</v>
      </c>
      <c r="BY138" s="1461">
        <v>0</v>
      </c>
      <c r="BZ138" s="1461">
        <v>0</v>
      </c>
      <c r="CA138" s="1461">
        <v>0</v>
      </c>
      <c r="CB138" s="1461">
        <v>0</v>
      </c>
      <c r="CC138" s="1461">
        <v>0</v>
      </c>
      <c r="CD138" s="1461">
        <v>0</v>
      </c>
      <c r="CE138" s="1461">
        <v>0</v>
      </c>
      <c r="CF138" s="1461">
        <v>0</v>
      </c>
      <c r="CG138" s="1461">
        <v>0</v>
      </c>
      <c r="CH138" s="1461">
        <v>0</v>
      </c>
      <c r="CI138" s="1461">
        <v>0</v>
      </c>
      <c r="CJ138" s="1461">
        <v>0</v>
      </c>
      <c r="CK138" s="1461">
        <v>0</v>
      </c>
      <c r="CL138" s="1461">
        <v>0</v>
      </c>
      <c r="CM138" s="1461">
        <v>0</v>
      </c>
      <c r="CN138" s="1461">
        <v>0</v>
      </c>
      <c r="CO138" s="1461">
        <v>0</v>
      </c>
      <c r="CP138" s="1462">
        <v>0</v>
      </c>
    </row>
    <row r="139" spans="2:94" ht="46.5" x14ac:dyDescent="0.3">
      <c r="B139" s="1729"/>
      <c r="C139" s="1444" t="s">
        <v>1331</v>
      </c>
      <c r="D139" s="1446" t="s">
        <v>1332</v>
      </c>
      <c r="E139" s="1264" t="s">
        <v>1322</v>
      </c>
      <c r="F139" s="1409" t="s">
        <v>1355</v>
      </c>
      <c r="G139" s="1464">
        <v>40</v>
      </c>
      <c r="H139" s="1409" t="s">
        <v>1324</v>
      </c>
      <c r="I139" s="1259"/>
      <c r="J139" s="1259"/>
      <c r="K139" s="1259"/>
      <c r="L139" s="1259"/>
      <c r="M139" s="1259"/>
      <c r="N139" s="1460"/>
      <c r="O139" s="1461">
        <v>3.0324239662961396</v>
      </c>
      <c r="P139" s="1461">
        <v>4.5486359494442086</v>
      </c>
      <c r="Q139" s="1461">
        <v>7.5810599157403482</v>
      </c>
      <c r="R139" s="1461">
        <v>7.5810599157403482</v>
      </c>
      <c r="S139" s="1461">
        <v>7.5810599157403482</v>
      </c>
      <c r="T139" s="1461">
        <v>7.5810599157403482</v>
      </c>
      <c r="U139" s="1461">
        <v>15.162119831480696</v>
      </c>
      <c r="V139" s="1461">
        <v>22.743179747221046</v>
      </c>
      <c r="W139" s="1461">
        <v>37.905299578701744</v>
      </c>
      <c r="X139" s="1461">
        <v>37.905299578701744</v>
      </c>
      <c r="Y139" s="1461">
        <v>0</v>
      </c>
      <c r="Z139" s="1461">
        <v>0</v>
      </c>
      <c r="AA139" s="1461">
        <v>0</v>
      </c>
      <c r="AB139" s="1461">
        <v>0</v>
      </c>
      <c r="AC139" s="1461">
        <v>0</v>
      </c>
      <c r="AD139" s="1461">
        <v>0</v>
      </c>
      <c r="AE139" s="1461">
        <v>0</v>
      </c>
      <c r="AF139" s="1461">
        <v>0</v>
      </c>
      <c r="AG139" s="1461">
        <v>0</v>
      </c>
      <c r="AH139" s="1461">
        <v>0</v>
      </c>
      <c r="AI139" s="1461">
        <v>0</v>
      </c>
      <c r="AJ139" s="1461">
        <v>0</v>
      </c>
      <c r="AK139" s="1461">
        <v>0</v>
      </c>
      <c r="AL139" s="1461">
        <v>0</v>
      </c>
      <c r="AM139" s="1461">
        <v>0</v>
      </c>
      <c r="AN139" s="1461">
        <v>0</v>
      </c>
      <c r="AO139" s="1461">
        <v>0</v>
      </c>
      <c r="AP139" s="1461">
        <v>0</v>
      </c>
      <c r="AQ139" s="1461">
        <v>0</v>
      </c>
      <c r="AR139" s="1461">
        <v>0</v>
      </c>
      <c r="AS139" s="1461">
        <v>0</v>
      </c>
      <c r="AT139" s="1461">
        <v>0</v>
      </c>
      <c r="AU139" s="1461">
        <v>0</v>
      </c>
      <c r="AV139" s="1461">
        <v>0</v>
      </c>
      <c r="AW139" s="1461">
        <v>0</v>
      </c>
      <c r="AX139" s="1461">
        <v>0</v>
      </c>
      <c r="AY139" s="1461">
        <v>0</v>
      </c>
      <c r="AZ139" s="1461">
        <v>0</v>
      </c>
      <c r="BA139" s="1461">
        <v>0</v>
      </c>
      <c r="BB139" s="1461">
        <v>0</v>
      </c>
      <c r="BC139" s="1461">
        <v>3.0324239662961396</v>
      </c>
      <c r="BD139" s="1461">
        <v>4.5486359494442086</v>
      </c>
      <c r="BE139" s="1461">
        <v>7.5810599157403482</v>
      </c>
      <c r="BF139" s="1461">
        <v>7.5810599157403482</v>
      </c>
      <c r="BG139" s="1461">
        <v>7.5810599157403482</v>
      </c>
      <c r="BH139" s="1461">
        <v>7.5810599157403482</v>
      </c>
      <c r="BI139" s="1461">
        <v>15.162119831480696</v>
      </c>
      <c r="BJ139" s="1461">
        <v>22.743179747221046</v>
      </c>
      <c r="BK139" s="1461">
        <v>37.905299578701744</v>
      </c>
      <c r="BL139" s="1461">
        <v>37.905299578701744</v>
      </c>
      <c r="BM139" s="1461">
        <v>0</v>
      </c>
      <c r="BN139" s="1461">
        <v>0</v>
      </c>
      <c r="BO139" s="1461">
        <v>0</v>
      </c>
      <c r="BP139" s="1461">
        <v>0</v>
      </c>
      <c r="BQ139" s="1461">
        <v>0</v>
      </c>
      <c r="BR139" s="1461">
        <v>0</v>
      </c>
      <c r="BS139" s="1461">
        <v>0</v>
      </c>
      <c r="BT139" s="1461">
        <v>0</v>
      </c>
      <c r="BU139" s="1461">
        <v>0</v>
      </c>
      <c r="BV139" s="1461">
        <v>0</v>
      </c>
      <c r="BW139" s="1461">
        <v>0</v>
      </c>
      <c r="BX139" s="1461">
        <v>0</v>
      </c>
      <c r="BY139" s="1461">
        <v>0</v>
      </c>
      <c r="BZ139" s="1461">
        <v>0</v>
      </c>
      <c r="CA139" s="1461">
        <v>0</v>
      </c>
      <c r="CB139" s="1461">
        <v>0</v>
      </c>
      <c r="CC139" s="1461">
        <v>0</v>
      </c>
      <c r="CD139" s="1461">
        <v>0</v>
      </c>
      <c r="CE139" s="1461">
        <v>0</v>
      </c>
      <c r="CF139" s="1461">
        <v>0</v>
      </c>
      <c r="CG139" s="1461">
        <v>0</v>
      </c>
      <c r="CH139" s="1461">
        <v>0</v>
      </c>
      <c r="CI139" s="1461">
        <v>0</v>
      </c>
      <c r="CJ139" s="1461">
        <v>0</v>
      </c>
      <c r="CK139" s="1461">
        <v>0</v>
      </c>
      <c r="CL139" s="1461">
        <v>0</v>
      </c>
      <c r="CM139" s="1461">
        <v>0</v>
      </c>
      <c r="CN139" s="1461">
        <v>0</v>
      </c>
      <c r="CO139" s="1461">
        <v>0</v>
      </c>
      <c r="CP139" s="1462">
        <v>0</v>
      </c>
    </row>
    <row r="140" spans="2:94" ht="47" thickBot="1" x14ac:dyDescent="0.35">
      <c r="B140" s="1730"/>
      <c r="C140" s="1454" t="s">
        <v>1331</v>
      </c>
      <c r="D140" s="1438" t="s">
        <v>1332</v>
      </c>
      <c r="E140" s="1465" t="s">
        <v>1322</v>
      </c>
      <c r="F140" s="1465" t="s">
        <v>1356</v>
      </c>
      <c r="G140" s="1466">
        <v>25</v>
      </c>
      <c r="H140" s="1465" t="s">
        <v>1324</v>
      </c>
      <c r="I140" s="1258"/>
      <c r="J140" s="1258"/>
      <c r="K140" s="1258"/>
      <c r="L140" s="1258"/>
      <c r="M140" s="1258"/>
      <c r="N140" s="1467"/>
      <c r="O140" s="1468">
        <v>0.10947352278702684</v>
      </c>
      <c r="P140" s="1468">
        <v>0.16421028418054023</v>
      </c>
      <c r="Q140" s="1468">
        <v>0.27368380696756706</v>
      </c>
      <c r="R140" s="1468">
        <v>0.27368380696756706</v>
      </c>
      <c r="S140" s="1468">
        <v>0.27368380696756706</v>
      </c>
      <c r="T140" s="1468">
        <v>0.27368380696756706</v>
      </c>
      <c r="U140" s="1468">
        <v>0.54736761393513411</v>
      </c>
      <c r="V140" s="1468">
        <v>0.82105142090270122</v>
      </c>
      <c r="W140" s="1468">
        <v>1.3684190348378353</v>
      </c>
      <c r="X140" s="1468">
        <v>1.3684190348378353</v>
      </c>
      <c r="Y140" s="1468">
        <v>0</v>
      </c>
      <c r="Z140" s="1468">
        <v>0</v>
      </c>
      <c r="AA140" s="1468">
        <v>0</v>
      </c>
      <c r="AB140" s="1468">
        <v>0</v>
      </c>
      <c r="AC140" s="1468">
        <v>0</v>
      </c>
      <c r="AD140" s="1468">
        <v>0</v>
      </c>
      <c r="AE140" s="1468">
        <v>0</v>
      </c>
      <c r="AF140" s="1468">
        <v>0</v>
      </c>
      <c r="AG140" s="1468">
        <v>0</v>
      </c>
      <c r="AH140" s="1468">
        <v>0</v>
      </c>
      <c r="AI140" s="1468">
        <v>0</v>
      </c>
      <c r="AJ140" s="1468">
        <v>0</v>
      </c>
      <c r="AK140" s="1468">
        <v>0</v>
      </c>
      <c r="AL140" s="1468">
        <v>0</v>
      </c>
      <c r="AM140" s="1468">
        <v>0</v>
      </c>
      <c r="AN140" s="1468">
        <v>0.10947352278702684</v>
      </c>
      <c r="AO140" s="1468">
        <v>0.16421028418054023</v>
      </c>
      <c r="AP140" s="1468">
        <v>0.27368380696756706</v>
      </c>
      <c r="AQ140" s="1468">
        <v>0.27368380696756706</v>
      </c>
      <c r="AR140" s="1468">
        <v>0.27368380696756706</v>
      </c>
      <c r="AS140" s="1468">
        <v>0.27368380696756706</v>
      </c>
      <c r="AT140" s="1468">
        <v>0.54736761393513411</v>
      </c>
      <c r="AU140" s="1468">
        <v>0.82105142090270122</v>
      </c>
      <c r="AV140" s="1468">
        <v>1.3684190348378353</v>
      </c>
      <c r="AW140" s="1468">
        <v>1.3684190348378353</v>
      </c>
      <c r="AX140" s="1468">
        <v>0</v>
      </c>
      <c r="AY140" s="1468">
        <v>0</v>
      </c>
      <c r="AZ140" s="1468">
        <v>0</v>
      </c>
      <c r="BA140" s="1468">
        <v>0</v>
      </c>
      <c r="BB140" s="1468">
        <v>0</v>
      </c>
      <c r="BC140" s="1468">
        <v>0</v>
      </c>
      <c r="BD140" s="1468">
        <v>0</v>
      </c>
      <c r="BE140" s="1468">
        <v>0</v>
      </c>
      <c r="BF140" s="1468">
        <v>0</v>
      </c>
      <c r="BG140" s="1468">
        <v>0</v>
      </c>
      <c r="BH140" s="1468">
        <v>0</v>
      </c>
      <c r="BI140" s="1468">
        <v>0</v>
      </c>
      <c r="BJ140" s="1468">
        <v>0</v>
      </c>
      <c r="BK140" s="1468">
        <v>0</v>
      </c>
      <c r="BL140" s="1468">
        <v>0</v>
      </c>
      <c r="BM140" s="1468">
        <v>0.10947352278702684</v>
      </c>
      <c r="BN140" s="1468">
        <v>0.16421028418054023</v>
      </c>
      <c r="BO140" s="1468">
        <v>0.27368380696756706</v>
      </c>
      <c r="BP140" s="1468">
        <v>0.27368380696756706</v>
      </c>
      <c r="BQ140" s="1468">
        <v>0.27368380696756706</v>
      </c>
      <c r="BR140" s="1468">
        <v>0.27368380696756706</v>
      </c>
      <c r="BS140" s="1468">
        <v>0.54736761393513411</v>
      </c>
      <c r="BT140" s="1468">
        <v>0.82105142090270122</v>
      </c>
      <c r="BU140" s="1468">
        <v>1.3684190348378353</v>
      </c>
      <c r="BV140" s="1468">
        <v>1.3684190348378353</v>
      </c>
      <c r="BW140" s="1468">
        <v>0</v>
      </c>
      <c r="BX140" s="1468">
        <v>0</v>
      </c>
      <c r="BY140" s="1468">
        <v>0</v>
      </c>
      <c r="BZ140" s="1468">
        <v>0</v>
      </c>
      <c r="CA140" s="1468">
        <v>0</v>
      </c>
      <c r="CB140" s="1468">
        <v>0</v>
      </c>
      <c r="CC140" s="1468">
        <v>0</v>
      </c>
      <c r="CD140" s="1468">
        <v>0</v>
      </c>
      <c r="CE140" s="1468">
        <v>0</v>
      </c>
      <c r="CF140" s="1468">
        <v>0</v>
      </c>
      <c r="CG140" s="1468">
        <v>0</v>
      </c>
      <c r="CH140" s="1468">
        <v>0</v>
      </c>
      <c r="CI140" s="1468">
        <v>0</v>
      </c>
      <c r="CJ140" s="1468">
        <v>0</v>
      </c>
      <c r="CK140" s="1468">
        <v>0</v>
      </c>
      <c r="CL140" s="1468">
        <v>0.10947352278702684</v>
      </c>
      <c r="CM140" s="1468">
        <v>0.16421028418054023</v>
      </c>
      <c r="CN140" s="1468">
        <v>0.27368380696756706</v>
      </c>
      <c r="CO140" s="1468">
        <v>0.27368380696756706</v>
      </c>
      <c r="CP140" s="1469">
        <v>0.27368380696756706</v>
      </c>
    </row>
    <row r="141" spans="2:94" ht="46.5" x14ac:dyDescent="0.3">
      <c r="B141" s="1728" t="s">
        <v>1351</v>
      </c>
      <c r="C141" s="1448" t="s">
        <v>1335</v>
      </c>
      <c r="D141" s="1449" t="s">
        <v>1336</v>
      </c>
      <c r="E141" s="1269" t="s">
        <v>1317</v>
      </c>
      <c r="F141" s="1270" t="s">
        <v>1352</v>
      </c>
      <c r="G141" s="1270"/>
      <c r="H141" s="1269" t="s">
        <v>1324</v>
      </c>
      <c r="I141" s="1268"/>
      <c r="J141" s="1267"/>
      <c r="K141" s="1266"/>
      <c r="L141" s="1265"/>
      <c r="M141" s="1265"/>
      <c r="N141" s="1457"/>
      <c r="O141" s="1458">
        <v>0</v>
      </c>
      <c r="P141" s="1458">
        <v>0</v>
      </c>
      <c r="Q141" s="1458">
        <v>0</v>
      </c>
      <c r="R141" s="1458">
        <v>0</v>
      </c>
      <c r="S141" s="1458">
        <v>0</v>
      </c>
      <c r="T141" s="1458">
        <v>0</v>
      </c>
      <c r="U141" s="1458">
        <v>0</v>
      </c>
      <c r="V141" s="1458">
        <v>0</v>
      </c>
      <c r="W141" s="1458">
        <v>0</v>
      </c>
      <c r="X141" s="1458">
        <v>0</v>
      </c>
      <c r="Y141" s="1458">
        <v>2.6712592500388443E-2</v>
      </c>
      <c r="Z141" s="1458">
        <v>2.6712592500388443E-2</v>
      </c>
      <c r="AA141" s="1458">
        <v>2.6712592500388443E-2</v>
      </c>
      <c r="AB141" s="1458">
        <v>2.6712592500388443E-2</v>
      </c>
      <c r="AC141" s="1458">
        <v>2.6712592500388443E-2</v>
      </c>
      <c r="AD141" s="1458">
        <v>2.6712592500388443E-2</v>
      </c>
      <c r="AE141" s="1458">
        <v>2.6712592500388443E-2</v>
      </c>
      <c r="AF141" s="1458">
        <v>2.6712592500388443E-2</v>
      </c>
      <c r="AG141" s="1458">
        <v>2.6712592500388443E-2</v>
      </c>
      <c r="AH141" s="1458">
        <v>2.6712592500388443E-2</v>
      </c>
      <c r="AI141" s="1458">
        <v>2.6712592500388443E-2</v>
      </c>
      <c r="AJ141" s="1458">
        <v>2.6712592500388443E-2</v>
      </c>
      <c r="AK141" s="1458">
        <v>2.6712592500388443E-2</v>
      </c>
      <c r="AL141" s="1458">
        <v>2.6712592500388443E-2</v>
      </c>
      <c r="AM141" s="1458">
        <v>2.6712592500388443E-2</v>
      </c>
      <c r="AN141" s="1458">
        <v>2.6712592500388443E-2</v>
      </c>
      <c r="AO141" s="1458">
        <v>2.6712592500388443E-2</v>
      </c>
      <c r="AP141" s="1458">
        <v>2.6712592500388443E-2</v>
      </c>
      <c r="AQ141" s="1458">
        <v>2.6712592500388443E-2</v>
      </c>
      <c r="AR141" s="1458">
        <v>2.6712592500388443E-2</v>
      </c>
      <c r="AS141" s="1458">
        <v>2.6712592500388443E-2</v>
      </c>
      <c r="AT141" s="1458">
        <v>2.6712592500388443E-2</v>
      </c>
      <c r="AU141" s="1458">
        <v>2.6712592500388443E-2</v>
      </c>
      <c r="AV141" s="1458">
        <v>2.6712592500388443E-2</v>
      </c>
      <c r="AW141" s="1458">
        <v>2.6712592500388443E-2</v>
      </c>
      <c r="AX141" s="1458">
        <v>2.6712592500388443E-2</v>
      </c>
      <c r="AY141" s="1458">
        <v>2.6712592500388443E-2</v>
      </c>
      <c r="AZ141" s="1458">
        <v>2.6712592500388443E-2</v>
      </c>
      <c r="BA141" s="1458">
        <v>2.6712592500388443E-2</v>
      </c>
      <c r="BB141" s="1458">
        <v>2.6712592500388443E-2</v>
      </c>
      <c r="BC141" s="1458">
        <v>2.6712592500388443E-2</v>
      </c>
      <c r="BD141" s="1458">
        <v>2.6712592500388443E-2</v>
      </c>
      <c r="BE141" s="1458">
        <v>2.6712592500388443E-2</v>
      </c>
      <c r="BF141" s="1458">
        <v>2.6712592500388443E-2</v>
      </c>
      <c r="BG141" s="1458">
        <v>2.6712592500388443E-2</v>
      </c>
      <c r="BH141" s="1458">
        <v>2.6712592500388443E-2</v>
      </c>
      <c r="BI141" s="1458">
        <v>2.6712592500388443E-2</v>
      </c>
      <c r="BJ141" s="1458">
        <v>2.6712592500388443E-2</v>
      </c>
      <c r="BK141" s="1458">
        <v>2.6712592500388443E-2</v>
      </c>
      <c r="BL141" s="1458">
        <v>2.6712592500388443E-2</v>
      </c>
      <c r="BM141" s="1458">
        <v>2.6712592500388443E-2</v>
      </c>
      <c r="BN141" s="1458">
        <v>2.6712592500388443E-2</v>
      </c>
      <c r="BO141" s="1458">
        <v>2.6712592500388443E-2</v>
      </c>
      <c r="BP141" s="1458">
        <v>2.6712592500388443E-2</v>
      </c>
      <c r="BQ141" s="1458">
        <v>2.6712592500388443E-2</v>
      </c>
      <c r="BR141" s="1458">
        <v>2.6712592500388443E-2</v>
      </c>
      <c r="BS141" s="1458">
        <v>2.6712592500388443E-2</v>
      </c>
      <c r="BT141" s="1458">
        <v>2.6712592500388443E-2</v>
      </c>
      <c r="BU141" s="1458">
        <v>2.6712592500388443E-2</v>
      </c>
      <c r="BV141" s="1458">
        <v>2.6712592500388443E-2</v>
      </c>
      <c r="BW141" s="1458">
        <v>2.6712592500388443E-2</v>
      </c>
      <c r="BX141" s="1458">
        <v>2.6712592500388443E-2</v>
      </c>
      <c r="BY141" s="1458">
        <v>2.6712592500388443E-2</v>
      </c>
      <c r="BZ141" s="1458">
        <v>2.6712592500388443E-2</v>
      </c>
      <c r="CA141" s="1458">
        <v>2.6712592500388443E-2</v>
      </c>
      <c r="CB141" s="1458">
        <v>2.6712592500388443E-2</v>
      </c>
      <c r="CC141" s="1458">
        <v>2.6712592500388443E-2</v>
      </c>
      <c r="CD141" s="1458">
        <v>2.6712592500388443E-2</v>
      </c>
      <c r="CE141" s="1458">
        <v>2.6712592500388443E-2</v>
      </c>
      <c r="CF141" s="1458">
        <v>2.6712592500388443E-2</v>
      </c>
      <c r="CG141" s="1458">
        <v>2.6712592500388443E-2</v>
      </c>
      <c r="CH141" s="1458">
        <v>2.6712592500388443E-2</v>
      </c>
      <c r="CI141" s="1458">
        <v>2.6712592500388443E-2</v>
      </c>
      <c r="CJ141" s="1458">
        <v>2.6712592500388443E-2</v>
      </c>
      <c r="CK141" s="1458">
        <v>2.6712592500388443E-2</v>
      </c>
      <c r="CL141" s="1458">
        <v>2.6712592500388443E-2</v>
      </c>
      <c r="CM141" s="1458">
        <v>2.6712592500388443E-2</v>
      </c>
      <c r="CN141" s="1458">
        <v>2.6712592500388443E-2</v>
      </c>
      <c r="CO141" s="1458">
        <v>2.6712592500388443E-2</v>
      </c>
      <c r="CP141" s="1459">
        <v>2.6712592500388443E-2</v>
      </c>
    </row>
    <row r="142" spans="2:94" ht="46.5" x14ac:dyDescent="0.3">
      <c r="B142" s="1729"/>
      <c r="C142" s="1444" t="s">
        <v>1335</v>
      </c>
      <c r="D142" s="1446" t="s">
        <v>1336</v>
      </c>
      <c r="E142" s="1260" t="s">
        <v>1317</v>
      </c>
      <c r="F142" s="1264" t="s">
        <v>1352</v>
      </c>
      <c r="G142" s="1264"/>
      <c r="H142" s="1260" t="s">
        <v>1353</v>
      </c>
      <c r="I142" s="1262"/>
      <c r="J142" s="1263"/>
      <c r="K142" s="1261"/>
      <c r="L142" s="1259"/>
      <c r="M142" s="1259"/>
      <c r="N142" s="1460"/>
      <c r="O142" s="1461">
        <v>0</v>
      </c>
      <c r="P142" s="1461">
        <v>0</v>
      </c>
      <c r="Q142" s="1461">
        <v>0</v>
      </c>
      <c r="R142" s="1461">
        <v>0</v>
      </c>
      <c r="S142" s="1461">
        <v>0</v>
      </c>
      <c r="T142" s="1461">
        <v>0</v>
      </c>
      <c r="U142" s="1461">
        <v>0</v>
      </c>
      <c r="V142" s="1461">
        <v>0</v>
      </c>
      <c r="W142" s="1461">
        <v>0</v>
      </c>
      <c r="X142" s="1461">
        <v>0</v>
      </c>
      <c r="Y142" s="1461">
        <v>7.886296966042565E-2</v>
      </c>
      <c r="Z142" s="1461">
        <v>7.886296966042565E-2</v>
      </c>
      <c r="AA142" s="1461">
        <v>7.886296966042565E-2</v>
      </c>
      <c r="AB142" s="1461">
        <v>7.886296966042565E-2</v>
      </c>
      <c r="AC142" s="1461">
        <v>7.886296966042565E-2</v>
      </c>
      <c r="AD142" s="1461">
        <v>7.886296966042565E-2</v>
      </c>
      <c r="AE142" s="1461">
        <v>7.886296966042565E-2</v>
      </c>
      <c r="AF142" s="1461">
        <v>7.886296966042565E-2</v>
      </c>
      <c r="AG142" s="1461">
        <v>7.886296966042565E-2</v>
      </c>
      <c r="AH142" s="1461">
        <v>7.886296966042565E-2</v>
      </c>
      <c r="AI142" s="1461">
        <v>7.886296966042565E-2</v>
      </c>
      <c r="AJ142" s="1461">
        <v>7.886296966042565E-2</v>
      </c>
      <c r="AK142" s="1461">
        <v>7.886296966042565E-2</v>
      </c>
      <c r="AL142" s="1461">
        <v>7.886296966042565E-2</v>
      </c>
      <c r="AM142" s="1461">
        <v>7.886296966042565E-2</v>
      </c>
      <c r="AN142" s="1461">
        <v>7.886296966042565E-2</v>
      </c>
      <c r="AO142" s="1461">
        <v>7.886296966042565E-2</v>
      </c>
      <c r="AP142" s="1461">
        <v>7.886296966042565E-2</v>
      </c>
      <c r="AQ142" s="1461">
        <v>7.886296966042565E-2</v>
      </c>
      <c r="AR142" s="1461">
        <v>7.886296966042565E-2</v>
      </c>
      <c r="AS142" s="1461">
        <v>7.886296966042565E-2</v>
      </c>
      <c r="AT142" s="1461">
        <v>7.886296966042565E-2</v>
      </c>
      <c r="AU142" s="1461">
        <v>7.886296966042565E-2</v>
      </c>
      <c r="AV142" s="1461">
        <v>7.886296966042565E-2</v>
      </c>
      <c r="AW142" s="1461">
        <v>7.886296966042565E-2</v>
      </c>
      <c r="AX142" s="1461">
        <v>7.886296966042565E-2</v>
      </c>
      <c r="AY142" s="1461">
        <v>7.886296966042565E-2</v>
      </c>
      <c r="AZ142" s="1461">
        <v>7.886296966042565E-2</v>
      </c>
      <c r="BA142" s="1461">
        <v>7.886296966042565E-2</v>
      </c>
      <c r="BB142" s="1461">
        <v>7.886296966042565E-2</v>
      </c>
      <c r="BC142" s="1461">
        <v>7.886296966042565E-2</v>
      </c>
      <c r="BD142" s="1461">
        <v>7.886296966042565E-2</v>
      </c>
      <c r="BE142" s="1461">
        <v>7.886296966042565E-2</v>
      </c>
      <c r="BF142" s="1461">
        <v>7.886296966042565E-2</v>
      </c>
      <c r="BG142" s="1461">
        <v>7.886296966042565E-2</v>
      </c>
      <c r="BH142" s="1461">
        <v>7.886296966042565E-2</v>
      </c>
      <c r="BI142" s="1461">
        <v>7.886296966042565E-2</v>
      </c>
      <c r="BJ142" s="1461">
        <v>7.886296966042565E-2</v>
      </c>
      <c r="BK142" s="1461">
        <v>7.886296966042565E-2</v>
      </c>
      <c r="BL142" s="1461">
        <v>7.886296966042565E-2</v>
      </c>
      <c r="BM142" s="1461">
        <v>7.886296966042565E-2</v>
      </c>
      <c r="BN142" s="1461">
        <v>7.886296966042565E-2</v>
      </c>
      <c r="BO142" s="1461">
        <v>7.886296966042565E-2</v>
      </c>
      <c r="BP142" s="1461">
        <v>7.886296966042565E-2</v>
      </c>
      <c r="BQ142" s="1461">
        <v>7.886296966042565E-2</v>
      </c>
      <c r="BR142" s="1461">
        <v>7.886296966042565E-2</v>
      </c>
      <c r="BS142" s="1461">
        <v>7.886296966042565E-2</v>
      </c>
      <c r="BT142" s="1461">
        <v>7.886296966042565E-2</v>
      </c>
      <c r="BU142" s="1461">
        <v>7.886296966042565E-2</v>
      </c>
      <c r="BV142" s="1461">
        <v>7.886296966042565E-2</v>
      </c>
      <c r="BW142" s="1461">
        <v>7.886296966042565E-2</v>
      </c>
      <c r="BX142" s="1461">
        <v>7.886296966042565E-2</v>
      </c>
      <c r="BY142" s="1461">
        <v>7.886296966042565E-2</v>
      </c>
      <c r="BZ142" s="1461">
        <v>7.886296966042565E-2</v>
      </c>
      <c r="CA142" s="1461">
        <v>7.886296966042565E-2</v>
      </c>
      <c r="CB142" s="1461">
        <v>7.886296966042565E-2</v>
      </c>
      <c r="CC142" s="1461">
        <v>7.886296966042565E-2</v>
      </c>
      <c r="CD142" s="1461">
        <v>7.886296966042565E-2</v>
      </c>
      <c r="CE142" s="1461">
        <v>7.886296966042565E-2</v>
      </c>
      <c r="CF142" s="1461">
        <v>7.886296966042565E-2</v>
      </c>
      <c r="CG142" s="1461">
        <v>7.886296966042565E-2</v>
      </c>
      <c r="CH142" s="1461">
        <v>7.886296966042565E-2</v>
      </c>
      <c r="CI142" s="1461">
        <v>7.886296966042565E-2</v>
      </c>
      <c r="CJ142" s="1461">
        <v>7.886296966042565E-2</v>
      </c>
      <c r="CK142" s="1461">
        <v>7.886296966042565E-2</v>
      </c>
      <c r="CL142" s="1461">
        <v>7.886296966042565E-2</v>
      </c>
      <c r="CM142" s="1461">
        <v>7.886296966042565E-2</v>
      </c>
      <c r="CN142" s="1461">
        <v>7.886296966042565E-2</v>
      </c>
      <c r="CO142" s="1461">
        <v>7.886296966042565E-2</v>
      </c>
      <c r="CP142" s="1462">
        <v>7.886296966042565E-2</v>
      </c>
    </row>
    <row r="143" spans="2:94" ht="46.5" x14ac:dyDescent="0.3">
      <c r="B143" s="1729"/>
      <c r="C143" s="1444" t="s">
        <v>1335</v>
      </c>
      <c r="D143" s="1446" t="s">
        <v>1336</v>
      </c>
      <c r="E143" s="1264" t="s">
        <v>1322</v>
      </c>
      <c r="F143" s="1409" t="s">
        <v>1354</v>
      </c>
      <c r="G143" s="1463">
        <v>80</v>
      </c>
      <c r="H143" s="1409" t="s">
        <v>1324</v>
      </c>
      <c r="I143" s="1259"/>
      <c r="J143" s="1259"/>
      <c r="K143" s="1259"/>
      <c r="L143" s="1259"/>
      <c r="M143" s="1259"/>
      <c r="N143" s="1460"/>
      <c r="O143" s="1461">
        <v>4.7688930966576538E-3</v>
      </c>
      <c r="P143" s="1461">
        <v>7.1533396449864799E-3</v>
      </c>
      <c r="Q143" s="1461">
        <v>1.1922232741644136E-2</v>
      </c>
      <c r="R143" s="1461">
        <v>1.1922232741644136E-2</v>
      </c>
      <c r="S143" s="1461">
        <v>1.1922232741644136E-2</v>
      </c>
      <c r="T143" s="1461">
        <v>1.1922232741644136E-2</v>
      </c>
      <c r="U143" s="1461">
        <v>2.3844465483288273E-2</v>
      </c>
      <c r="V143" s="1461">
        <v>3.5766698224932406E-2</v>
      </c>
      <c r="W143" s="1461">
        <v>5.9611163708220671E-2</v>
      </c>
      <c r="X143" s="1461">
        <v>5.9611163708220671E-2</v>
      </c>
      <c r="Y143" s="1461">
        <v>0</v>
      </c>
      <c r="Z143" s="1461">
        <v>0</v>
      </c>
      <c r="AA143" s="1461">
        <v>0</v>
      </c>
      <c r="AB143" s="1461">
        <v>0</v>
      </c>
      <c r="AC143" s="1461">
        <v>0</v>
      </c>
      <c r="AD143" s="1461">
        <v>0</v>
      </c>
      <c r="AE143" s="1461">
        <v>0</v>
      </c>
      <c r="AF143" s="1461">
        <v>0</v>
      </c>
      <c r="AG143" s="1461">
        <v>0</v>
      </c>
      <c r="AH143" s="1461">
        <v>0</v>
      </c>
      <c r="AI143" s="1461">
        <v>0</v>
      </c>
      <c r="AJ143" s="1461">
        <v>0</v>
      </c>
      <c r="AK143" s="1461">
        <v>0</v>
      </c>
      <c r="AL143" s="1461">
        <v>0</v>
      </c>
      <c r="AM143" s="1461">
        <v>0</v>
      </c>
      <c r="AN143" s="1461">
        <v>0</v>
      </c>
      <c r="AO143" s="1461">
        <v>0</v>
      </c>
      <c r="AP143" s="1461">
        <v>0</v>
      </c>
      <c r="AQ143" s="1461">
        <v>0</v>
      </c>
      <c r="AR143" s="1461">
        <v>0</v>
      </c>
      <c r="AS143" s="1461">
        <v>0</v>
      </c>
      <c r="AT143" s="1461">
        <v>0</v>
      </c>
      <c r="AU143" s="1461">
        <v>0</v>
      </c>
      <c r="AV143" s="1461">
        <v>0</v>
      </c>
      <c r="AW143" s="1461">
        <v>0</v>
      </c>
      <c r="AX143" s="1461">
        <v>0</v>
      </c>
      <c r="AY143" s="1461">
        <v>0</v>
      </c>
      <c r="AZ143" s="1461">
        <v>0</v>
      </c>
      <c r="BA143" s="1461">
        <v>0</v>
      </c>
      <c r="BB143" s="1461">
        <v>0</v>
      </c>
      <c r="BC143" s="1461">
        <v>0</v>
      </c>
      <c r="BD143" s="1461">
        <v>0</v>
      </c>
      <c r="BE143" s="1461">
        <v>0</v>
      </c>
      <c r="BF143" s="1461">
        <v>0</v>
      </c>
      <c r="BG143" s="1461">
        <v>0</v>
      </c>
      <c r="BH143" s="1461">
        <v>0</v>
      </c>
      <c r="BI143" s="1461">
        <v>0</v>
      </c>
      <c r="BJ143" s="1461">
        <v>0</v>
      </c>
      <c r="BK143" s="1461">
        <v>0</v>
      </c>
      <c r="BL143" s="1461">
        <v>0</v>
      </c>
      <c r="BM143" s="1461">
        <v>0</v>
      </c>
      <c r="BN143" s="1461">
        <v>0</v>
      </c>
      <c r="BO143" s="1461">
        <v>0</v>
      </c>
      <c r="BP143" s="1461">
        <v>0</v>
      </c>
      <c r="BQ143" s="1461">
        <v>0</v>
      </c>
      <c r="BR143" s="1461">
        <v>0</v>
      </c>
      <c r="BS143" s="1461">
        <v>0</v>
      </c>
      <c r="BT143" s="1461">
        <v>0</v>
      </c>
      <c r="BU143" s="1461">
        <v>0</v>
      </c>
      <c r="BV143" s="1461">
        <v>0</v>
      </c>
      <c r="BW143" s="1461">
        <v>0</v>
      </c>
      <c r="BX143" s="1461">
        <v>0</v>
      </c>
      <c r="BY143" s="1461">
        <v>0</v>
      </c>
      <c r="BZ143" s="1461">
        <v>0</v>
      </c>
      <c r="CA143" s="1461">
        <v>0</v>
      </c>
      <c r="CB143" s="1461">
        <v>0</v>
      </c>
      <c r="CC143" s="1461">
        <v>0</v>
      </c>
      <c r="CD143" s="1461">
        <v>0</v>
      </c>
      <c r="CE143" s="1461">
        <v>0</v>
      </c>
      <c r="CF143" s="1461">
        <v>0</v>
      </c>
      <c r="CG143" s="1461">
        <v>0</v>
      </c>
      <c r="CH143" s="1461">
        <v>0</v>
      </c>
      <c r="CI143" s="1461">
        <v>0</v>
      </c>
      <c r="CJ143" s="1461">
        <v>0</v>
      </c>
      <c r="CK143" s="1461">
        <v>0</v>
      </c>
      <c r="CL143" s="1461">
        <v>0</v>
      </c>
      <c r="CM143" s="1461">
        <v>0</v>
      </c>
      <c r="CN143" s="1461">
        <v>0</v>
      </c>
      <c r="CO143" s="1461">
        <v>0</v>
      </c>
      <c r="CP143" s="1462">
        <v>0</v>
      </c>
    </row>
    <row r="144" spans="2:94" ht="46.5" x14ac:dyDescent="0.3">
      <c r="B144" s="1729"/>
      <c r="C144" s="1444" t="s">
        <v>1335</v>
      </c>
      <c r="D144" s="1446" t="s">
        <v>1336</v>
      </c>
      <c r="E144" s="1264" t="s">
        <v>1322</v>
      </c>
      <c r="F144" s="1409" t="s">
        <v>1355</v>
      </c>
      <c r="G144" s="1464">
        <v>40</v>
      </c>
      <c r="H144" s="1409" t="s">
        <v>1324</v>
      </c>
      <c r="I144" s="1259"/>
      <c r="J144" s="1259"/>
      <c r="K144" s="1259"/>
      <c r="L144" s="1259"/>
      <c r="M144" s="1259"/>
      <c r="N144" s="1460"/>
      <c r="O144" s="1461">
        <v>4.4133503258703577</v>
      </c>
      <c r="P144" s="1461">
        <v>6.6200254888055357</v>
      </c>
      <c r="Q144" s="1461">
        <v>11.033375814675894</v>
      </c>
      <c r="R144" s="1461">
        <v>11.033375814675894</v>
      </c>
      <c r="S144" s="1461">
        <v>11.033375814675894</v>
      </c>
      <c r="T144" s="1461">
        <v>11.033375814675894</v>
      </c>
      <c r="U144" s="1461">
        <v>22.066751629351788</v>
      </c>
      <c r="V144" s="1461">
        <v>33.100127444027677</v>
      </c>
      <c r="W144" s="1461">
        <v>55.166879073379469</v>
      </c>
      <c r="X144" s="1461">
        <v>55.166879073379469</v>
      </c>
      <c r="Y144" s="1461">
        <v>0</v>
      </c>
      <c r="Z144" s="1461">
        <v>0</v>
      </c>
      <c r="AA144" s="1461">
        <v>0</v>
      </c>
      <c r="AB144" s="1461">
        <v>0</v>
      </c>
      <c r="AC144" s="1461">
        <v>0</v>
      </c>
      <c r="AD144" s="1461">
        <v>0</v>
      </c>
      <c r="AE144" s="1461">
        <v>0</v>
      </c>
      <c r="AF144" s="1461">
        <v>0</v>
      </c>
      <c r="AG144" s="1461">
        <v>0</v>
      </c>
      <c r="AH144" s="1461">
        <v>0</v>
      </c>
      <c r="AI144" s="1461">
        <v>0</v>
      </c>
      <c r="AJ144" s="1461">
        <v>0</v>
      </c>
      <c r="AK144" s="1461">
        <v>0</v>
      </c>
      <c r="AL144" s="1461">
        <v>0</v>
      </c>
      <c r="AM144" s="1461">
        <v>0</v>
      </c>
      <c r="AN144" s="1461">
        <v>0</v>
      </c>
      <c r="AO144" s="1461">
        <v>0</v>
      </c>
      <c r="AP144" s="1461">
        <v>0</v>
      </c>
      <c r="AQ144" s="1461">
        <v>0</v>
      </c>
      <c r="AR144" s="1461">
        <v>0</v>
      </c>
      <c r="AS144" s="1461">
        <v>0</v>
      </c>
      <c r="AT144" s="1461">
        <v>0</v>
      </c>
      <c r="AU144" s="1461">
        <v>0</v>
      </c>
      <c r="AV144" s="1461">
        <v>0</v>
      </c>
      <c r="AW144" s="1461">
        <v>0</v>
      </c>
      <c r="AX144" s="1461">
        <v>0</v>
      </c>
      <c r="AY144" s="1461">
        <v>0</v>
      </c>
      <c r="AZ144" s="1461">
        <v>0</v>
      </c>
      <c r="BA144" s="1461">
        <v>0</v>
      </c>
      <c r="BB144" s="1461">
        <v>0</v>
      </c>
      <c r="BC144" s="1461">
        <v>4.4133503258703577</v>
      </c>
      <c r="BD144" s="1461">
        <v>6.6200254888055357</v>
      </c>
      <c r="BE144" s="1461">
        <v>11.033375814675894</v>
      </c>
      <c r="BF144" s="1461">
        <v>11.033375814675894</v>
      </c>
      <c r="BG144" s="1461">
        <v>11.033375814675894</v>
      </c>
      <c r="BH144" s="1461">
        <v>11.033375814675894</v>
      </c>
      <c r="BI144" s="1461">
        <v>22.066751629351788</v>
      </c>
      <c r="BJ144" s="1461">
        <v>33.100127444027677</v>
      </c>
      <c r="BK144" s="1461">
        <v>55.166879073379469</v>
      </c>
      <c r="BL144" s="1461">
        <v>55.166879073379469</v>
      </c>
      <c r="BM144" s="1461">
        <v>0</v>
      </c>
      <c r="BN144" s="1461">
        <v>0</v>
      </c>
      <c r="BO144" s="1461">
        <v>0</v>
      </c>
      <c r="BP144" s="1461">
        <v>0</v>
      </c>
      <c r="BQ144" s="1461">
        <v>0</v>
      </c>
      <c r="BR144" s="1461">
        <v>0</v>
      </c>
      <c r="BS144" s="1461">
        <v>0</v>
      </c>
      <c r="BT144" s="1461">
        <v>0</v>
      </c>
      <c r="BU144" s="1461">
        <v>0</v>
      </c>
      <c r="BV144" s="1461">
        <v>0</v>
      </c>
      <c r="BW144" s="1461">
        <v>0</v>
      </c>
      <c r="BX144" s="1461">
        <v>0</v>
      </c>
      <c r="BY144" s="1461">
        <v>0</v>
      </c>
      <c r="BZ144" s="1461">
        <v>0</v>
      </c>
      <c r="CA144" s="1461">
        <v>0</v>
      </c>
      <c r="CB144" s="1461">
        <v>0</v>
      </c>
      <c r="CC144" s="1461">
        <v>0</v>
      </c>
      <c r="CD144" s="1461">
        <v>0</v>
      </c>
      <c r="CE144" s="1461">
        <v>0</v>
      </c>
      <c r="CF144" s="1461">
        <v>0</v>
      </c>
      <c r="CG144" s="1461">
        <v>0</v>
      </c>
      <c r="CH144" s="1461">
        <v>0</v>
      </c>
      <c r="CI144" s="1461">
        <v>0</v>
      </c>
      <c r="CJ144" s="1461">
        <v>0</v>
      </c>
      <c r="CK144" s="1461">
        <v>0</v>
      </c>
      <c r="CL144" s="1461">
        <v>0</v>
      </c>
      <c r="CM144" s="1461">
        <v>0</v>
      </c>
      <c r="CN144" s="1461">
        <v>0</v>
      </c>
      <c r="CO144" s="1461">
        <v>0</v>
      </c>
      <c r="CP144" s="1462">
        <v>0</v>
      </c>
    </row>
    <row r="145" spans="2:94" ht="47" thickBot="1" x14ac:dyDescent="0.35">
      <c r="B145" s="1730"/>
      <c r="C145" s="1454" t="s">
        <v>1335</v>
      </c>
      <c r="D145" s="1438" t="s">
        <v>1336</v>
      </c>
      <c r="E145" s="1465" t="s">
        <v>1322</v>
      </c>
      <c r="F145" s="1465" t="s">
        <v>1356</v>
      </c>
      <c r="G145" s="1466">
        <v>25</v>
      </c>
      <c r="H145" s="1465" t="s">
        <v>1324</v>
      </c>
      <c r="I145" s="1258"/>
      <c r="J145" s="1258"/>
      <c r="K145" s="1258"/>
      <c r="L145" s="1258"/>
      <c r="M145" s="1258"/>
      <c r="N145" s="1467"/>
      <c r="O145" s="1468">
        <v>5.6574008042271966E-2</v>
      </c>
      <c r="P145" s="1468">
        <v>8.4861012063407945E-2</v>
      </c>
      <c r="Q145" s="1468">
        <v>0.1414350201056799</v>
      </c>
      <c r="R145" s="1468">
        <v>0.1414350201056799</v>
      </c>
      <c r="S145" s="1468">
        <v>0.1414350201056799</v>
      </c>
      <c r="T145" s="1468">
        <v>0.1414350201056799</v>
      </c>
      <c r="U145" s="1468">
        <v>0.28287004021135981</v>
      </c>
      <c r="V145" s="1468">
        <v>0.42430506031703968</v>
      </c>
      <c r="W145" s="1468">
        <v>0.70717510052839949</v>
      </c>
      <c r="X145" s="1468">
        <v>0.70717510052839949</v>
      </c>
      <c r="Y145" s="1468">
        <v>0</v>
      </c>
      <c r="Z145" s="1468">
        <v>0</v>
      </c>
      <c r="AA145" s="1468">
        <v>0</v>
      </c>
      <c r="AB145" s="1468">
        <v>0</v>
      </c>
      <c r="AC145" s="1468">
        <v>0</v>
      </c>
      <c r="AD145" s="1468">
        <v>0</v>
      </c>
      <c r="AE145" s="1468">
        <v>0</v>
      </c>
      <c r="AF145" s="1468">
        <v>0</v>
      </c>
      <c r="AG145" s="1468">
        <v>0</v>
      </c>
      <c r="AH145" s="1468">
        <v>0</v>
      </c>
      <c r="AI145" s="1468">
        <v>0</v>
      </c>
      <c r="AJ145" s="1468">
        <v>0</v>
      </c>
      <c r="AK145" s="1468">
        <v>0</v>
      </c>
      <c r="AL145" s="1468">
        <v>0</v>
      </c>
      <c r="AM145" s="1468">
        <v>0</v>
      </c>
      <c r="AN145" s="1468">
        <v>5.6574008042271966E-2</v>
      </c>
      <c r="AO145" s="1468">
        <v>8.4861012063407945E-2</v>
      </c>
      <c r="AP145" s="1468">
        <v>0.1414350201056799</v>
      </c>
      <c r="AQ145" s="1468">
        <v>0.1414350201056799</v>
      </c>
      <c r="AR145" s="1468">
        <v>0.1414350201056799</v>
      </c>
      <c r="AS145" s="1468">
        <v>0.1414350201056799</v>
      </c>
      <c r="AT145" s="1468">
        <v>0.28287004021135981</v>
      </c>
      <c r="AU145" s="1468">
        <v>0.42430506031703968</v>
      </c>
      <c r="AV145" s="1468">
        <v>0.70717510052839949</v>
      </c>
      <c r="AW145" s="1468">
        <v>0.70717510052839949</v>
      </c>
      <c r="AX145" s="1468">
        <v>0</v>
      </c>
      <c r="AY145" s="1468">
        <v>0</v>
      </c>
      <c r="AZ145" s="1468">
        <v>0</v>
      </c>
      <c r="BA145" s="1468">
        <v>0</v>
      </c>
      <c r="BB145" s="1468">
        <v>0</v>
      </c>
      <c r="BC145" s="1468">
        <v>0</v>
      </c>
      <c r="BD145" s="1468">
        <v>0</v>
      </c>
      <c r="BE145" s="1468">
        <v>0</v>
      </c>
      <c r="BF145" s="1468">
        <v>0</v>
      </c>
      <c r="BG145" s="1468">
        <v>0</v>
      </c>
      <c r="BH145" s="1468">
        <v>0</v>
      </c>
      <c r="BI145" s="1468">
        <v>0</v>
      </c>
      <c r="BJ145" s="1468">
        <v>0</v>
      </c>
      <c r="BK145" s="1468">
        <v>0</v>
      </c>
      <c r="BL145" s="1468">
        <v>0</v>
      </c>
      <c r="BM145" s="1468">
        <v>5.6574008042271966E-2</v>
      </c>
      <c r="BN145" s="1468">
        <v>8.4861012063407945E-2</v>
      </c>
      <c r="BO145" s="1468">
        <v>0.1414350201056799</v>
      </c>
      <c r="BP145" s="1468">
        <v>0.1414350201056799</v>
      </c>
      <c r="BQ145" s="1468">
        <v>0.1414350201056799</v>
      </c>
      <c r="BR145" s="1468">
        <v>0.1414350201056799</v>
      </c>
      <c r="BS145" s="1468">
        <v>0.28287004021135981</v>
      </c>
      <c r="BT145" s="1468">
        <v>0.42430506031703968</v>
      </c>
      <c r="BU145" s="1468">
        <v>0.70717510052839949</v>
      </c>
      <c r="BV145" s="1468">
        <v>0.70717510052839949</v>
      </c>
      <c r="BW145" s="1468">
        <v>0</v>
      </c>
      <c r="BX145" s="1468">
        <v>0</v>
      </c>
      <c r="BY145" s="1468">
        <v>0</v>
      </c>
      <c r="BZ145" s="1468">
        <v>0</v>
      </c>
      <c r="CA145" s="1468">
        <v>0</v>
      </c>
      <c r="CB145" s="1468">
        <v>0</v>
      </c>
      <c r="CC145" s="1468">
        <v>0</v>
      </c>
      <c r="CD145" s="1468">
        <v>0</v>
      </c>
      <c r="CE145" s="1468">
        <v>0</v>
      </c>
      <c r="CF145" s="1468">
        <v>0</v>
      </c>
      <c r="CG145" s="1468">
        <v>0</v>
      </c>
      <c r="CH145" s="1468">
        <v>0</v>
      </c>
      <c r="CI145" s="1468">
        <v>0</v>
      </c>
      <c r="CJ145" s="1468">
        <v>0</v>
      </c>
      <c r="CK145" s="1468">
        <v>0</v>
      </c>
      <c r="CL145" s="1468">
        <v>5.6574008042271966E-2</v>
      </c>
      <c r="CM145" s="1468">
        <v>8.4861012063407945E-2</v>
      </c>
      <c r="CN145" s="1468">
        <v>0.1414350201056799</v>
      </c>
      <c r="CO145" s="1468">
        <v>0.1414350201056799</v>
      </c>
      <c r="CP145" s="1469">
        <v>0.1414350201056799</v>
      </c>
    </row>
    <row r="146" spans="2:94" ht="31" x14ac:dyDescent="0.3">
      <c r="B146" s="1728" t="s">
        <v>1351</v>
      </c>
      <c r="C146" s="1448" t="s">
        <v>1339</v>
      </c>
      <c r="D146" s="1449" t="s">
        <v>1159</v>
      </c>
      <c r="E146" s="1269" t="s">
        <v>1317</v>
      </c>
      <c r="F146" s="1270" t="s">
        <v>1352</v>
      </c>
      <c r="G146" s="1270"/>
      <c r="H146" s="1269" t="s">
        <v>1324</v>
      </c>
      <c r="I146" s="1268"/>
      <c r="J146" s="1267"/>
      <c r="K146" s="1266"/>
      <c r="L146" s="1265"/>
      <c r="M146" s="1265"/>
      <c r="N146" s="1457"/>
      <c r="O146" s="1458">
        <v>0</v>
      </c>
      <c r="P146" s="1458">
        <v>0</v>
      </c>
      <c r="Q146" s="1458">
        <v>0</v>
      </c>
      <c r="R146" s="1458">
        <v>0</v>
      </c>
      <c r="S146" s="1458">
        <v>0</v>
      </c>
      <c r="T146" s="1458">
        <v>0</v>
      </c>
      <c r="U146" s="1458">
        <v>0</v>
      </c>
      <c r="V146" s="1458">
        <v>0</v>
      </c>
      <c r="W146" s="1458">
        <v>0</v>
      </c>
      <c r="X146" s="1458">
        <v>0</v>
      </c>
      <c r="Y146" s="1458">
        <v>0</v>
      </c>
      <c r="Z146" s="1458">
        <v>0</v>
      </c>
      <c r="AA146" s="1458">
        <v>0</v>
      </c>
      <c r="AB146" s="1458">
        <v>0</v>
      </c>
      <c r="AC146" s="1458">
        <v>0</v>
      </c>
      <c r="AD146" s="1458">
        <v>4.3269984546083738E-2</v>
      </c>
      <c r="AE146" s="1458">
        <v>4.3269984546083738E-2</v>
      </c>
      <c r="AF146" s="1458">
        <v>4.3269984546083738E-2</v>
      </c>
      <c r="AG146" s="1458">
        <v>4.3269984546083738E-2</v>
      </c>
      <c r="AH146" s="1458">
        <v>4.3269984546083738E-2</v>
      </c>
      <c r="AI146" s="1458">
        <v>4.3269984546083738E-2</v>
      </c>
      <c r="AJ146" s="1458">
        <v>4.3269984546083738E-2</v>
      </c>
      <c r="AK146" s="1458">
        <v>4.3269984546083738E-2</v>
      </c>
      <c r="AL146" s="1458">
        <v>4.3269984546083738E-2</v>
      </c>
      <c r="AM146" s="1458">
        <v>4.3269984546083738E-2</v>
      </c>
      <c r="AN146" s="1458">
        <v>4.3269984546083738E-2</v>
      </c>
      <c r="AO146" s="1458">
        <v>4.3269984546083738E-2</v>
      </c>
      <c r="AP146" s="1458">
        <v>4.3269984546083738E-2</v>
      </c>
      <c r="AQ146" s="1458">
        <v>4.3269984546083738E-2</v>
      </c>
      <c r="AR146" s="1458">
        <v>4.3269984546083738E-2</v>
      </c>
      <c r="AS146" s="1458">
        <v>4.3269984546083738E-2</v>
      </c>
      <c r="AT146" s="1458">
        <v>4.3269984546083738E-2</v>
      </c>
      <c r="AU146" s="1458">
        <v>4.3269984546083738E-2</v>
      </c>
      <c r="AV146" s="1458">
        <v>4.3269984546083738E-2</v>
      </c>
      <c r="AW146" s="1458">
        <v>4.3269984546083738E-2</v>
      </c>
      <c r="AX146" s="1458">
        <v>4.3269984546083738E-2</v>
      </c>
      <c r="AY146" s="1458">
        <v>4.3269984546083738E-2</v>
      </c>
      <c r="AZ146" s="1458">
        <v>4.3269984546083738E-2</v>
      </c>
      <c r="BA146" s="1458">
        <v>4.3269984546083738E-2</v>
      </c>
      <c r="BB146" s="1458">
        <v>4.3269984546083738E-2</v>
      </c>
      <c r="BC146" s="1458">
        <v>4.3269984546083738E-2</v>
      </c>
      <c r="BD146" s="1458">
        <v>4.3269984546083738E-2</v>
      </c>
      <c r="BE146" s="1458">
        <v>4.3269984546083738E-2</v>
      </c>
      <c r="BF146" s="1458">
        <v>4.3269984546083738E-2</v>
      </c>
      <c r="BG146" s="1458">
        <v>4.3269984546083738E-2</v>
      </c>
      <c r="BH146" s="1458">
        <v>4.3269984546083738E-2</v>
      </c>
      <c r="BI146" s="1458">
        <v>4.3269984546083738E-2</v>
      </c>
      <c r="BJ146" s="1458">
        <v>4.3269984546083738E-2</v>
      </c>
      <c r="BK146" s="1458">
        <v>4.3269984546083738E-2</v>
      </c>
      <c r="BL146" s="1458">
        <v>4.3269984546083738E-2</v>
      </c>
      <c r="BM146" s="1458">
        <v>4.3269984546083738E-2</v>
      </c>
      <c r="BN146" s="1458">
        <v>4.3269984546083738E-2</v>
      </c>
      <c r="BO146" s="1458">
        <v>4.3269984546083738E-2</v>
      </c>
      <c r="BP146" s="1458">
        <v>4.3269984546083738E-2</v>
      </c>
      <c r="BQ146" s="1458">
        <v>4.3269984546083738E-2</v>
      </c>
      <c r="BR146" s="1458">
        <v>4.3269984546083738E-2</v>
      </c>
      <c r="BS146" s="1458">
        <v>4.3269984546083738E-2</v>
      </c>
      <c r="BT146" s="1458">
        <v>4.3269984546083738E-2</v>
      </c>
      <c r="BU146" s="1458">
        <v>4.3269984546083738E-2</v>
      </c>
      <c r="BV146" s="1458">
        <v>4.3269984546083738E-2</v>
      </c>
      <c r="BW146" s="1458">
        <v>4.3269984546083738E-2</v>
      </c>
      <c r="BX146" s="1458">
        <v>4.3269984546083738E-2</v>
      </c>
      <c r="BY146" s="1458">
        <v>4.3269984546083738E-2</v>
      </c>
      <c r="BZ146" s="1458">
        <v>4.3269984546083738E-2</v>
      </c>
      <c r="CA146" s="1458">
        <v>4.3269984546083738E-2</v>
      </c>
      <c r="CB146" s="1458">
        <v>4.3269984546083738E-2</v>
      </c>
      <c r="CC146" s="1458">
        <v>4.3269984546083738E-2</v>
      </c>
      <c r="CD146" s="1458">
        <v>4.3269984546083738E-2</v>
      </c>
      <c r="CE146" s="1458">
        <v>4.3269984546083738E-2</v>
      </c>
      <c r="CF146" s="1458">
        <v>4.3269984546083738E-2</v>
      </c>
      <c r="CG146" s="1458">
        <v>4.3269984546083738E-2</v>
      </c>
      <c r="CH146" s="1458">
        <v>4.3269984546083738E-2</v>
      </c>
      <c r="CI146" s="1458">
        <v>4.3269984546083738E-2</v>
      </c>
      <c r="CJ146" s="1458">
        <v>4.3269984546083738E-2</v>
      </c>
      <c r="CK146" s="1458">
        <v>4.3269984546083738E-2</v>
      </c>
      <c r="CL146" s="1458">
        <v>4.3269984546083738E-2</v>
      </c>
      <c r="CM146" s="1458">
        <v>4.3269984546083738E-2</v>
      </c>
      <c r="CN146" s="1458">
        <v>4.3269984546083738E-2</v>
      </c>
      <c r="CO146" s="1458">
        <v>4.3269984546083738E-2</v>
      </c>
      <c r="CP146" s="1459">
        <v>4.3269984546083738E-2</v>
      </c>
    </row>
    <row r="147" spans="2:94" ht="31" x14ac:dyDescent="0.3">
      <c r="B147" s="1729"/>
      <c r="C147" s="1444" t="s">
        <v>1339</v>
      </c>
      <c r="D147" s="1446" t="s">
        <v>1159</v>
      </c>
      <c r="E147" s="1260" t="s">
        <v>1317</v>
      </c>
      <c r="F147" s="1264" t="s">
        <v>1352</v>
      </c>
      <c r="G147" s="1264"/>
      <c r="H147" s="1260" t="s">
        <v>1353</v>
      </c>
      <c r="I147" s="1262"/>
      <c r="J147" s="1263"/>
      <c r="K147" s="1261"/>
      <c r="L147" s="1259"/>
      <c r="M147" s="1259"/>
      <c r="N147" s="1460"/>
      <c r="O147" s="1461">
        <v>0</v>
      </c>
      <c r="P147" s="1461">
        <v>0</v>
      </c>
      <c r="Q147" s="1461">
        <v>0</v>
      </c>
      <c r="R147" s="1461">
        <v>0</v>
      </c>
      <c r="S147" s="1461">
        <v>0</v>
      </c>
      <c r="T147" s="1461">
        <v>0</v>
      </c>
      <c r="U147" s="1461">
        <v>0</v>
      </c>
      <c r="V147" s="1461">
        <v>0</v>
      </c>
      <c r="W147" s="1461">
        <v>0</v>
      </c>
      <c r="X147" s="1461">
        <v>0</v>
      </c>
      <c r="Y147" s="1461">
        <v>0</v>
      </c>
      <c r="Z147" s="1461">
        <v>0</v>
      </c>
      <c r="AA147" s="1461">
        <v>0</v>
      </c>
      <c r="AB147" s="1461">
        <v>0</v>
      </c>
      <c r="AC147" s="1461">
        <v>0</v>
      </c>
      <c r="AD147" s="1461">
        <v>1.0413308377213992</v>
      </c>
      <c r="AE147" s="1461">
        <v>1.0413308377213992</v>
      </c>
      <c r="AF147" s="1461">
        <v>1.0413308377213992</v>
      </c>
      <c r="AG147" s="1461">
        <v>1.0413308377213992</v>
      </c>
      <c r="AH147" s="1461">
        <v>1.0413308377213992</v>
      </c>
      <c r="AI147" s="1461">
        <v>1.0413308377213992</v>
      </c>
      <c r="AJ147" s="1461">
        <v>1.0413308377213992</v>
      </c>
      <c r="AK147" s="1461">
        <v>1.0413308377213992</v>
      </c>
      <c r="AL147" s="1461">
        <v>1.0413308377213992</v>
      </c>
      <c r="AM147" s="1461">
        <v>1.0413308377213992</v>
      </c>
      <c r="AN147" s="1461">
        <v>1.0413308377213992</v>
      </c>
      <c r="AO147" s="1461">
        <v>1.0413308377213992</v>
      </c>
      <c r="AP147" s="1461">
        <v>1.0413308377213992</v>
      </c>
      <c r="AQ147" s="1461">
        <v>1.0413308377213992</v>
      </c>
      <c r="AR147" s="1461">
        <v>1.0413308377213992</v>
      </c>
      <c r="AS147" s="1461">
        <v>1.0413308377213992</v>
      </c>
      <c r="AT147" s="1461">
        <v>1.0413308377213992</v>
      </c>
      <c r="AU147" s="1461">
        <v>1.0413308377213992</v>
      </c>
      <c r="AV147" s="1461">
        <v>1.0413308377213992</v>
      </c>
      <c r="AW147" s="1461">
        <v>1.0413308377213992</v>
      </c>
      <c r="AX147" s="1461">
        <v>1.0413308377213992</v>
      </c>
      <c r="AY147" s="1461">
        <v>1.0413308377213992</v>
      </c>
      <c r="AZ147" s="1461">
        <v>1.0413308377213992</v>
      </c>
      <c r="BA147" s="1461">
        <v>1.0413308377213992</v>
      </c>
      <c r="BB147" s="1461">
        <v>1.0413308377213992</v>
      </c>
      <c r="BC147" s="1461">
        <v>1.0413308377213992</v>
      </c>
      <c r="BD147" s="1461">
        <v>1.0413308377213992</v>
      </c>
      <c r="BE147" s="1461">
        <v>1.0413308377213992</v>
      </c>
      <c r="BF147" s="1461">
        <v>1.0413308377213992</v>
      </c>
      <c r="BG147" s="1461">
        <v>1.0413308377213992</v>
      </c>
      <c r="BH147" s="1461">
        <v>1.0413308377213992</v>
      </c>
      <c r="BI147" s="1461">
        <v>1.0413308377213992</v>
      </c>
      <c r="BJ147" s="1461">
        <v>1.0413308377213992</v>
      </c>
      <c r="BK147" s="1461">
        <v>1.0413308377213992</v>
      </c>
      <c r="BL147" s="1461">
        <v>1.0413308377213992</v>
      </c>
      <c r="BM147" s="1461">
        <v>1.0413308377213992</v>
      </c>
      <c r="BN147" s="1461">
        <v>1.0413308377213992</v>
      </c>
      <c r="BO147" s="1461">
        <v>1.0413308377213992</v>
      </c>
      <c r="BP147" s="1461">
        <v>1.0413308377213992</v>
      </c>
      <c r="BQ147" s="1461">
        <v>1.0413308377213992</v>
      </c>
      <c r="BR147" s="1461">
        <v>1.0413308377213992</v>
      </c>
      <c r="BS147" s="1461">
        <v>1.0413308377213992</v>
      </c>
      <c r="BT147" s="1461">
        <v>1.0413308377213992</v>
      </c>
      <c r="BU147" s="1461">
        <v>1.0413308377213992</v>
      </c>
      <c r="BV147" s="1461">
        <v>1.0413308377213992</v>
      </c>
      <c r="BW147" s="1461">
        <v>1.0413308377213992</v>
      </c>
      <c r="BX147" s="1461">
        <v>1.0413308377213992</v>
      </c>
      <c r="BY147" s="1461">
        <v>1.0413308377213992</v>
      </c>
      <c r="BZ147" s="1461">
        <v>1.0413308377213992</v>
      </c>
      <c r="CA147" s="1461">
        <v>1.0413308377213992</v>
      </c>
      <c r="CB147" s="1461">
        <v>1.0413308377213992</v>
      </c>
      <c r="CC147" s="1461">
        <v>1.0413308377213992</v>
      </c>
      <c r="CD147" s="1461">
        <v>1.0413308377213992</v>
      </c>
      <c r="CE147" s="1461">
        <v>1.0413308377213992</v>
      </c>
      <c r="CF147" s="1461">
        <v>1.0413308377213992</v>
      </c>
      <c r="CG147" s="1461">
        <v>1.0413308377213992</v>
      </c>
      <c r="CH147" s="1461">
        <v>1.0413308377213992</v>
      </c>
      <c r="CI147" s="1461">
        <v>1.0413308377213992</v>
      </c>
      <c r="CJ147" s="1461">
        <v>1.0413308377213992</v>
      </c>
      <c r="CK147" s="1461">
        <v>1.0413308377213992</v>
      </c>
      <c r="CL147" s="1461">
        <v>1.0413308377213992</v>
      </c>
      <c r="CM147" s="1461">
        <v>1.0413308377213992</v>
      </c>
      <c r="CN147" s="1461">
        <v>1.0413308377213992</v>
      </c>
      <c r="CO147" s="1461">
        <v>1.0413308377213992</v>
      </c>
      <c r="CP147" s="1462">
        <v>1.0413308377213992</v>
      </c>
    </row>
    <row r="148" spans="2:94" ht="31" x14ac:dyDescent="0.3">
      <c r="B148" s="1729"/>
      <c r="C148" s="1444" t="s">
        <v>1339</v>
      </c>
      <c r="D148" s="1446" t="s">
        <v>1159</v>
      </c>
      <c r="E148" s="1264" t="s">
        <v>1322</v>
      </c>
      <c r="F148" s="1409" t="s">
        <v>1354</v>
      </c>
      <c r="G148" s="1463">
        <v>80</v>
      </c>
      <c r="H148" s="1409" t="s">
        <v>1324</v>
      </c>
      <c r="I148" s="1259"/>
      <c r="J148" s="1259"/>
      <c r="K148" s="1259"/>
      <c r="L148" s="1259"/>
      <c r="M148" s="1259"/>
      <c r="N148" s="1460"/>
      <c r="O148" s="1461">
        <v>1.9660903855272727</v>
      </c>
      <c r="P148" s="1461">
        <v>3.9321807710545453</v>
      </c>
      <c r="Q148" s="1461">
        <v>3.9321807710545453</v>
      </c>
      <c r="R148" s="1461">
        <v>3.9321807710545453</v>
      </c>
      <c r="S148" s="1461">
        <v>3.9321807710545453</v>
      </c>
      <c r="T148" s="1461">
        <v>9.8304519276363642</v>
      </c>
      <c r="U148" s="1461">
        <v>9.8304519276363642</v>
      </c>
      <c r="V148" s="1461">
        <v>9.8304519276363642</v>
      </c>
      <c r="W148" s="1461">
        <v>15.728723084218181</v>
      </c>
      <c r="X148" s="1461">
        <v>15.728723084218181</v>
      </c>
      <c r="Y148" s="1461">
        <v>19.660903855272728</v>
      </c>
      <c r="Z148" s="1461">
        <v>19.660903855272728</v>
      </c>
      <c r="AA148" s="1461">
        <v>19.660903855272728</v>
      </c>
      <c r="AB148" s="1461">
        <v>29.491355782909086</v>
      </c>
      <c r="AC148" s="1461">
        <v>29.491355782909086</v>
      </c>
      <c r="AD148" s="1461">
        <v>0</v>
      </c>
      <c r="AE148" s="1461">
        <v>0</v>
      </c>
      <c r="AF148" s="1461">
        <v>0</v>
      </c>
      <c r="AG148" s="1461">
        <v>0</v>
      </c>
      <c r="AH148" s="1461">
        <v>0</v>
      </c>
      <c r="AI148" s="1461">
        <v>0</v>
      </c>
      <c r="AJ148" s="1461">
        <v>0</v>
      </c>
      <c r="AK148" s="1461">
        <v>0</v>
      </c>
      <c r="AL148" s="1461">
        <v>0</v>
      </c>
      <c r="AM148" s="1461">
        <v>0</v>
      </c>
      <c r="AN148" s="1461">
        <v>0</v>
      </c>
      <c r="AO148" s="1461">
        <v>0</v>
      </c>
      <c r="AP148" s="1461">
        <v>0</v>
      </c>
      <c r="AQ148" s="1461">
        <v>0</v>
      </c>
      <c r="AR148" s="1461">
        <v>0</v>
      </c>
      <c r="AS148" s="1461">
        <v>0</v>
      </c>
      <c r="AT148" s="1461">
        <v>0</v>
      </c>
      <c r="AU148" s="1461">
        <v>0</v>
      </c>
      <c r="AV148" s="1461">
        <v>0</v>
      </c>
      <c r="AW148" s="1461">
        <v>0</v>
      </c>
      <c r="AX148" s="1461">
        <v>0</v>
      </c>
      <c r="AY148" s="1461">
        <v>0</v>
      </c>
      <c r="AZ148" s="1461">
        <v>0</v>
      </c>
      <c r="BA148" s="1461">
        <v>0</v>
      </c>
      <c r="BB148" s="1461">
        <v>0</v>
      </c>
      <c r="BC148" s="1461">
        <v>0</v>
      </c>
      <c r="BD148" s="1461">
        <v>0</v>
      </c>
      <c r="BE148" s="1461">
        <v>0</v>
      </c>
      <c r="BF148" s="1461">
        <v>0</v>
      </c>
      <c r="BG148" s="1461">
        <v>0</v>
      </c>
      <c r="BH148" s="1461">
        <v>0</v>
      </c>
      <c r="BI148" s="1461">
        <v>0</v>
      </c>
      <c r="BJ148" s="1461">
        <v>0</v>
      </c>
      <c r="BK148" s="1461">
        <v>0</v>
      </c>
      <c r="BL148" s="1461">
        <v>0</v>
      </c>
      <c r="BM148" s="1461">
        <v>0</v>
      </c>
      <c r="BN148" s="1461">
        <v>0</v>
      </c>
      <c r="BO148" s="1461">
        <v>0</v>
      </c>
      <c r="BP148" s="1461">
        <v>0</v>
      </c>
      <c r="BQ148" s="1461">
        <v>0</v>
      </c>
      <c r="BR148" s="1461">
        <v>0</v>
      </c>
      <c r="BS148" s="1461">
        <v>0</v>
      </c>
      <c r="BT148" s="1461">
        <v>0</v>
      </c>
      <c r="BU148" s="1461">
        <v>0</v>
      </c>
      <c r="BV148" s="1461">
        <v>0</v>
      </c>
      <c r="BW148" s="1461">
        <v>0</v>
      </c>
      <c r="BX148" s="1461">
        <v>0</v>
      </c>
      <c r="BY148" s="1461">
        <v>0</v>
      </c>
      <c r="BZ148" s="1461">
        <v>0</v>
      </c>
      <c r="CA148" s="1461">
        <v>0</v>
      </c>
      <c r="CB148" s="1461">
        <v>0</v>
      </c>
      <c r="CC148" s="1461">
        <v>0</v>
      </c>
      <c r="CD148" s="1461">
        <v>0</v>
      </c>
      <c r="CE148" s="1461">
        <v>0</v>
      </c>
      <c r="CF148" s="1461">
        <v>0</v>
      </c>
      <c r="CG148" s="1461">
        <v>0</v>
      </c>
      <c r="CH148" s="1461">
        <v>0</v>
      </c>
      <c r="CI148" s="1461">
        <v>0</v>
      </c>
      <c r="CJ148" s="1461">
        <v>0</v>
      </c>
      <c r="CK148" s="1461">
        <v>0</v>
      </c>
      <c r="CL148" s="1461">
        <v>0</v>
      </c>
      <c r="CM148" s="1461">
        <v>0</v>
      </c>
      <c r="CN148" s="1461">
        <v>0</v>
      </c>
      <c r="CO148" s="1461">
        <v>0</v>
      </c>
      <c r="CP148" s="1462">
        <v>0</v>
      </c>
    </row>
    <row r="149" spans="2:94" ht="31" x14ac:dyDescent="0.3">
      <c r="B149" s="1729"/>
      <c r="C149" s="1444" t="s">
        <v>1339</v>
      </c>
      <c r="D149" s="1446" t="s">
        <v>1159</v>
      </c>
      <c r="E149" s="1264" t="s">
        <v>1322</v>
      </c>
      <c r="F149" s="1409" t="s">
        <v>1355</v>
      </c>
      <c r="G149" s="1464">
        <v>40</v>
      </c>
      <c r="H149" s="1409" t="s">
        <v>1324</v>
      </c>
      <c r="I149" s="1259"/>
      <c r="J149" s="1259"/>
      <c r="K149" s="1259"/>
      <c r="L149" s="1259"/>
      <c r="M149" s="1259"/>
      <c r="N149" s="1460"/>
      <c r="O149" s="1461">
        <v>0.28066330367131437</v>
      </c>
      <c r="P149" s="1461">
        <v>0.56132660734262874</v>
      </c>
      <c r="Q149" s="1461">
        <v>0.56132660734262874</v>
      </c>
      <c r="R149" s="1461">
        <v>0.56132660734262874</v>
      </c>
      <c r="S149" s="1461">
        <v>0.56132660734262874</v>
      </c>
      <c r="T149" s="1461">
        <v>1.4033165183565721</v>
      </c>
      <c r="U149" s="1461">
        <v>1.4033165183565721</v>
      </c>
      <c r="V149" s="1461">
        <v>1.4033165183565721</v>
      </c>
      <c r="W149" s="1461">
        <v>2.2453064293705149</v>
      </c>
      <c r="X149" s="1461">
        <v>2.2453064293705149</v>
      </c>
      <c r="Y149" s="1461">
        <v>2.8066330367131442</v>
      </c>
      <c r="Z149" s="1461">
        <v>2.8066330367131442</v>
      </c>
      <c r="AA149" s="1461">
        <v>2.8066330367131442</v>
      </c>
      <c r="AB149" s="1461">
        <v>4.2099495550697155</v>
      </c>
      <c r="AC149" s="1461">
        <v>4.2099495550697155</v>
      </c>
      <c r="AD149" s="1461">
        <v>0</v>
      </c>
      <c r="AE149" s="1461">
        <v>0</v>
      </c>
      <c r="AF149" s="1461">
        <v>0</v>
      </c>
      <c r="AG149" s="1461">
        <v>0</v>
      </c>
      <c r="AH149" s="1461">
        <v>0</v>
      </c>
      <c r="AI149" s="1461">
        <v>0</v>
      </c>
      <c r="AJ149" s="1461">
        <v>0</v>
      </c>
      <c r="AK149" s="1461">
        <v>0</v>
      </c>
      <c r="AL149" s="1461">
        <v>0</v>
      </c>
      <c r="AM149" s="1461">
        <v>0</v>
      </c>
      <c r="AN149" s="1461">
        <v>0</v>
      </c>
      <c r="AO149" s="1461">
        <v>0</v>
      </c>
      <c r="AP149" s="1461">
        <v>0</v>
      </c>
      <c r="AQ149" s="1461">
        <v>0</v>
      </c>
      <c r="AR149" s="1461">
        <v>0</v>
      </c>
      <c r="AS149" s="1461">
        <v>0</v>
      </c>
      <c r="AT149" s="1461">
        <v>0</v>
      </c>
      <c r="AU149" s="1461">
        <v>0</v>
      </c>
      <c r="AV149" s="1461">
        <v>0</v>
      </c>
      <c r="AW149" s="1461">
        <v>0</v>
      </c>
      <c r="AX149" s="1461">
        <v>0</v>
      </c>
      <c r="AY149" s="1461">
        <v>0</v>
      </c>
      <c r="AZ149" s="1461">
        <v>0</v>
      </c>
      <c r="BA149" s="1461">
        <v>0</v>
      </c>
      <c r="BB149" s="1461">
        <v>0</v>
      </c>
      <c r="BC149" s="1461">
        <v>0.28066330367131437</v>
      </c>
      <c r="BD149" s="1461">
        <v>0.56132660734262874</v>
      </c>
      <c r="BE149" s="1461">
        <v>0.56132660734262874</v>
      </c>
      <c r="BF149" s="1461">
        <v>0.56132660734262874</v>
      </c>
      <c r="BG149" s="1461">
        <v>0.56132660734262874</v>
      </c>
      <c r="BH149" s="1461">
        <v>1.4033165183565721</v>
      </c>
      <c r="BI149" s="1461">
        <v>1.4033165183565721</v>
      </c>
      <c r="BJ149" s="1461">
        <v>1.4033165183565721</v>
      </c>
      <c r="BK149" s="1461">
        <v>2.2453064293705149</v>
      </c>
      <c r="BL149" s="1461">
        <v>2.2453064293705149</v>
      </c>
      <c r="BM149" s="1461">
        <v>2.8066330367131442</v>
      </c>
      <c r="BN149" s="1461">
        <v>2.8066330367131442</v>
      </c>
      <c r="BO149" s="1461">
        <v>2.8066330367131442</v>
      </c>
      <c r="BP149" s="1461">
        <v>4.2099495550697155</v>
      </c>
      <c r="BQ149" s="1461">
        <v>4.2099495550697155</v>
      </c>
      <c r="BR149" s="1461">
        <v>0</v>
      </c>
      <c r="BS149" s="1461">
        <v>0</v>
      </c>
      <c r="BT149" s="1461">
        <v>0</v>
      </c>
      <c r="BU149" s="1461">
        <v>0</v>
      </c>
      <c r="BV149" s="1461">
        <v>0</v>
      </c>
      <c r="BW149" s="1461">
        <v>0</v>
      </c>
      <c r="BX149" s="1461">
        <v>0</v>
      </c>
      <c r="BY149" s="1461">
        <v>0</v>
      </c>
      <c r="BZ149" s="1461">
        <v>0</v>
      </c>
      <c r="CA149" s="1461">
        <v>0</v>
      </c>
      <c r="CB149" s="1461">
        <v>0</v>
      </c>
      <c r="CC149" s="1461">
        <v>0</v>
      </c>
      <c r="CD149" s="1461">
        <v>0</v>
      </c>
      <c r="CE149" s="1461">
        <v>0</v>
      </c>
      <c r="CF149" s="1461">
        <v>0</v>
      </c>
      <c r="CG149" s="1461">
        <v>0</v>
      </c>
      <c r="CH149" s="1461">
        <v>0</v>
      </c>
      <c r="CI149" s="1461">
        <v>0</v>
      </c>
      <c r="CJ149" s="1461">
        <v>0</v>
      </c>
      <c r="CK149" s="1461">
        <v>0</v>
      </c>
      <c r="CL149" s="1461">
        <v>0</v>
      </c>
      <c r="CM149" s="1461">
        <v>0</v>
      </c>
      <c r="CN149" s="1461">
        <v>0</v>
      </c>
      <c r="CO149" s="1461">
        <v>0</v>
      </c>
      <c r="CP149" s="1462">
        <v>0</v>
      </c>
    </row>
    <row r="150" spans="2:94" ht="31.5" thickBot="1" x14ac:dyDescent="0.35">
      <c r="B150" s="1730"/>
      <c r="C150" s="1454" t="s">
        <v>1339</v>
      </c>
      <c r="D150" s="1438" t="s">
        <v>1159</v>
      </c>
      <c r="E150" s="1465" t="s">
        <v>1322</v>
      </c>
      <c r="F150" s="1465" t="s">
        <v>1356</v>
      </c>
      <c r="G150" s="1466">
        <v>25</v>
      </c>
      <c r="H150" s="1465" t="s">
        <v>1324</v>
      </c>
      <c r="I150" s="1258"/>
      <c r="J150" s="1258"/>
      <c r="K150" s="1258"/>
      <c r="L150" s="1258"/>
      <c r="M150" s="1258"/>
      <c r="N150" s="1467"/>
      <c r="O150" s="1468">
        <v>0.12703175396761518</v>
      </c>
      <c r="P150" s="1468">
        <v>0.25406350793523036</v>
      </c>
      <c r="Q150" s="1468">
        <v>0.25406350793523036</v>
      </c>
      <c r="R150" s="1468">
        <v>0.25406350793523036</v>
      </c>
      <c r="S150" s="1468">
        <v>0.25406350793523036</v>
      </c>
      <c r="T150" s="1468">
        <v>0.63515876983807595</v>
      </c>
      <c r="U150" s="1468">
        <v>0.63515876983807595</v>
      </c>
      <c r="V150" s="1468">
        <v>0.63515876983807595</v>
      </c>
      <c r="W150" s="1468">
        <v>1.0162540317409214</v>
      </c>
      <c r="X150" s="1468">
        <v>1.0162540317409214</v>
      </c>
      <c r="Y150" s="1468">
        <v>1.2703175396761519</v>
      </c>
      <c r="Z150" s="1468">
        <v>1.2703175396761519</v>
      </c>
      <c r="AA150" s="1468">
        <v>1.2703175396761519</v>
      </c>
      <c r="AB150" s="1468">
        <v>1.9054763095142278</v>
      </c>
      <c r="AC150" s="1468">
        <v>1.9054763095142278</v>
      </c>
      <c r="AD150" s="1468">
        <v>0</v>
      </c>
      <c r="AE150" s="1468">
        <v>0</v>
      </c>
      <c r="AF150" s="1468">
        <v>0</v>
      </c>
      <c r="AG150" s="1468">
        <v>0</v>
      </c>
      <c r="AH150" s="1468">
        <v>0</v>
      </c>
      <c r="AI150" s="1468">
        <v>0</v>
      </c>
      <c r="AJ150" s="1468">
        <v>0</v>
      </c>
      <c r="AK150" s="1468">
        <v>0</v>
      </c>
      <c r="AL150" s="1468">
        <v>0</v>
      </c>
      <c r="AM150" s="1468">
        <v>0</v>
      </c>
      <c r="AN150" s="1468">
        <v>0.12703175396761518</v>
      </c>
      <c r="AO150" s="1468">
        <v>0.25406350793523036</v>
      </c>
      <c r="AP150" s="1468">
        <v>0.25406350793523036</v>
      </c>
      <c r="AQ150" s="1468">
        <v>0.25406350793523036</v>
      </c>
      <c r="AR150" s="1468">
        <v>0.25406350793523036</v>
      </c>
      <c r="AS150" s="1468">
        <v>0.63515876983807595</v>
      </c>
      <c r="AT150" s="1468">
        <v>0.63515876983807595</v>
      </c>
      <c r="AU150" s="1468">
        <v>0.63515876983807595</v>
      </c>
      <c r="AV150" s="1468">
        <v>1.0162540317409214</v>
      </c>
      <c r="AW150" s="1468">
        <v>1.0162540317409214</v>
      </c>
      <c r="AX150" s="1468">
        <v>1.2703175396761519</v>
      </c>
      <c r="AY150" s="1468">
        <v>1.2703175396761519</v>
      </c>
      <c r="AZ150" s="1468">
        <v>1.2703175396761519</v>
      </c>
      <c r="BA150" s="1468">
        <v>1.9054763095142278</v>
      </c>
      <c r="BB150" s="1468">
        <v>1.9054763095142278</v>
      </c>
      <c r="BC150" s="1468">
        <v>0</v>
      </c>
      <c r="BD150" s="1468">
        <v>0</v>
      </c>
      <c r="BE150" s="1468">
        <v>0</v>
      </c>
      <c r="BF150" s="1468">
        <v>0</v>
      </c>
      <c r="BG150" s="1468">
        <v>0</v>
      </c>
      <c r="BH150" s="1468">
        <v>0</v>
      </c>
      <c r="BI150" s="1468">
        <v>0</v>
      </c>
      <c r="BJ150" s="1468">
        <v>0</v>
      </c>
      <c r="BK150" s="1468">
        <v>0</v>
      </c>
      <c r="BL150" s="1468">
        <v>0</v>
      </c>
      <c r="BM150" s="1468">
        <v>0.12703175396761518</v>
      </c>
      <c r="BN150" s="1468">
        <v>0.25406350793523036</v>
      </c>
      <c r="BO150" s="1468">
        <v>0.25406350793523036</v>
      </c>
      <c r="BP150" s="1468">
        <v>0.25406350793523036</v>
      </c>
      <c r="BQ150" s="1468">
        <v>0.25406350793523036</v>
      </c>
      <c r="BR150" s="1468">
        <v>0.63515876983807595</v>
      </c>
      <c r="BS150" s="1468">
        <v>0.63515876983807595</v>
      </c>
      <c r="BT150" s="1468">
        <v>0.63515876983807595</v>
      </c>
      <c r="BU150" s="1468">
        <v>1.0162540317409214</v>
      </c>
      <c r="BV150" s="1468">
        <v>1.0162540317409214</v>
      </c>
      <c r="BW150" s="1468">
        <v>1.2703175396761519</v>
      </c>
      <c r="BX150" s="1468">
        <v>1.2703175396761519</v>
      </c>
      <c r="BY150" s="1468">
        <v>1.2703175396761519</v>
      </c>
      <c r="BZ150" s="1468">
        <v>1.9054763095142278</v>
      </c>
      <c r="CA150" s="1468">
        <v>1.9054763095142278</v>
      </c>
      <c r="CB150" s="1468">
        <v>0</v>
      </c>
      <c r="CC150" s="1468">
        <v>0</v>
      </c>
      <c r="CD150" s="1468">
        <v>0</v>
      </c>
      <c r="CE150" s="1468">
        <v>0</v>
      </c>
      <c r="CF150" s="1468">
        <v>0</v>
      </c>
      <c r="CG150" s="1468">
        <v>0</v>
      </c>
      <c r="CH150" s="1468">
        <v>0</v>
      </c>
      <c r="CI150" s="1468">
        <v>0</v>
      </c>
      <c r="CJ150" s="1468">
        <v>0</v>
      </c>
      <c r="CK150" s="1468">
        <v>0</v>
      </c>
      <c r="CL150" s="1468">
        <v>0.12703175396761518</v>
      </c>
      <c r="CM150" s="1468">
        <v>0.25406350793523036</v>
      </c>
      <c r="CN150" s="1468">
        <v>0.25406350793523036</v>
      </c>
      <c r="CO150" s="1468">
        <v>0.25406350793523036</v>
      </c>
      <c r="CP150" s="1469">
        <v>0.25406350793523036</v>
      </c>
    </row>
    <row r="151" spans="2:94" ht="15.65" customHeight="1" x14ac:dyDescent="0.3">
      <c r="B151" s="1740" t="s">
        <v>1351</v>
      </c>
      <c r="C151" s="1673" t="s">
        <v>2204</v>
      </c>
      <c r="D151" s="1269" t="s">
        <v>2206</v>
      </c>
      <c r="E151" s="1269" t="s">
        <v>1317</v>
      </c>
      <c r="F151" s="1270" t="s">
        <v>1352</v>
      </c>
      <c r="G151" s="1270" t="s">
        <v>2203</v>
      </c>
      <c r="H151" s="1269" t="s">
        <v>1324</v>
      </c>
      <c r="I151" s="1268"/>
      <c r="J151" s="1267"/>
      <c r="K151" s="1266"/>
      <c r="L151" s="1265"/>
      <c r="M151" s="1265"/>
      <c r="N151" s="1674" t="s">
        <v>2203</v>
      </c>
      <c r="O151" s="1674">
        <v>0</v>
      </c>
      <c r="P151" s="1674">
        <v>0</v>
      </c>
      <c r="Q151" s="1674">
        <v>0</v>
      </c>
      <c r="R151" s="1674">
        <v>0</v>
      </c>
      <c r="S151" s="1674">
        <v>0</v>
      </c>
      <c r="T151" s="1674">
        <v>0</v>
      </c>
      <c r="U151" s="1674">
        <v>0</v>
      </c>
      <c r="V151" s="1674">
        <v>0</v>
      </c>
      <c r="W151" s="1674">
        <v>0</v>
      </c>
      <c r="X151" s="1674">
        <v>0</v>
      </c>
      <c r="Y151" s="1675">
        <v>0.113405688792</v>
      </c>
      <c r="Z151" s="1676">
        <v>0.113405688792</v>
      </c>
      <c r="AA151" s="1676">
        <v>0.113405688792</v>
      </c>
      <c r="AB151" s="1676">
        <v>0.113405688792</v>
      </c>
      <c r="AC151" s="1676">
        <v>0.113405688792</v>
      </c>
      <c r="AD151" s="1676">
        <v>0.113405688792</v>
      </c>
      <c r="AE151" s="1676">
        <v>0.113405688792</v>
      </c>
      <c r="AF151" s="1676">
        <v>0.113405688792</v>
      </c>
      <c r="AG151" s="1676">
        <v>0.113405688792</v>
      </c>
      <c r="AH151" s="1676">
        <v>0.113405688792</v>
      </c>
      <c r="AI151" s="1676">
        <v>0.113405688792</v>
      </c>
      <c r="AJ151" s="1676">
        <v>0.113405688792</v>
      </c>
      <c r="AK151" s="1676">
        <v>0.113405688792</v>
      </c>
      <c r="AL151" s="1676">
        <v>0.113405688792</v>
      </c>
      <c r="AM151" s="1676">
        <v>0.113405688792</v>
      </c>
      <c r="AN151" s="1676">
        <v>0.113405688792</v>
      </c>
      <c r="AO151" s="1676">
        <v>0.113405688792</v>
      </c>
      <c r="AP151" s="1676">
        <v>0.113405688792</v>
      </c>
      <c r="AQ151" s="1676">
        <v>0.113405688792</v>
      </c>
      <c r="AR151" s="1676">
        <v>0.113405688792</v>
      </c>
      <c r="AS151" s="1676">
        <v>0.113405688792</v>
      </c>
      <c r="AT151" s="1676">
        <v>0.113405688792</v>
      </c>
      <c r="AU151" s="1676">
        <v>0.113405688792</v>
      </c>
      <c r="AV151" s="1676">
        <v>0.113405688792</v>
      </c>
      <c r="AW151" s="1676">
        <v>0.113405688792</v>
      </c>
      <c r="AX151" s="1676">
        <v>0.113405688792</v>
      </c>
      <c r="AY151" s="1676">
        <v>0.113405688792</v>
      </c>
      <c r="AZ151" s="1676">
        <v>0.113405688792</v>
      </c>
      <c r="BA151" s="1676">
        <v>0.113405688792</v>
      </c>
      <c r="BB151" s="1676">
        <v>0.113405688792</v>
      </c>
      <c r="BC151" s="1676">
        <v>0.113405688792</v>
      </c>
      <c r="BD151" s="1676">
        <v>0.113405688792</v>
      </c>
      <c r="BE151" s="1676">
        <v>0.113405688792</v>
      </c>
      <c r="BF151" s="1676">
        <v>0.113405688792</v>
      </c>
      <c r="BG151" s="1676">
        <v>0.113405688792</v>
      </c>
      <c r="BH151" s="1676">
        <v>0.113405688792</v>
      </c>
      <c r="BI151" s="1676">
        <v>0.113405688792</v>
      </c>
      <c r="BJ151" s="1676">
        <v>0.113405688792</v>
      </c>
      <c r="BK151" s="1676">
        <v>0.113405688792</v>
      </c>
      <c r="BL151" s="1676">
        <v>0.113405688792</v>
      </c>
      <c r="BM151" s="1676">
        <v>0.113405688792</v>
      </c>
      <c r="BN151" s="1676">
        <v>0.113405688792</v>
      </c>
      <c r="BO151" s="1676">
        <v>0.113405688792</v>
      </c>
      <c r="BP151" s="1676">
        <v>0.113405688792</v>
      </c>
      <c r="BQ151" s="1676">
        <v>0.113405688792</v>
      </c>
      <c r="BR151" s="1676">
        <v>0.113405688792</v>
      </c>
      <c r="BS151" s="1676">
        <v>0.113405688792</v>
      </c>
      <c r="BT151" s="1676">
        <v>0.113405688792</v>
      </c>
      <c r="BU151" s="1676">
        <v>0.113405688792</v>
      </c>
      <c r="BV151" s="1676">
        <v>0.113405688792</v>
      </c>
      <c r="BW151" s="1676">
        <v>0.113405688792</v>
      </c>
      <c r="BX151" s="1676">
        <v>0.113405688792</v>
      </c>
      <c r="BY151" s="1676">
        <v>0.113405688792</v>
      </c>
      <c r="BZ151" s="1676">
        <v>0.113405688792</v>
      </c>
      <c r="CA151" s="1676">
        <v>0.113405688792</v>
      </c>
      <c r="CB151" s="1676">
        <v>0.113405688792</v>
      </c>
      <c r="CC151" s="1676">
        <v>0.113405688792</v>
      </c>
      <c r="CD151" s="1676">
        <v>0.113405688792</v>
      </c>
      <c r="CE151" s="1676">
        <v>0.113405688792</v>
      </c>
      <c r="CF151" s="1676">
        <v>0.113405688792</v>
      </c>
      <c r="CG151" s="1676">
        <v>0.113405688792</v>
      </c>
      <c r="CH151" s="1676">
        <v>0.113405688792</v>
      </c>
      <c r="CI151" s="1676">
        <v>0.113405688792</v>
      </c>
      <c r="CJ151" s="1676">
        <v>0.113405688792</v>
      </c>
      <c r="CK151" s="1676">
        <v>0.113405688792</v>
      </c>
      <c r="CL151" s="1676">
        <v>0.113405688792</v>
      </c>
      <c r="CM151" s="1676">
        <v>0.113405688792</v>
      </c>
      <c r="CN151" s="1676">
        <v>0.113405688792</v>
      </c>
      <c r="CO151" s="1676">
        <v>0.113405688792</v>
      </c>
      <c r="CP151" s="1677">
        <v>0.113405688792</v>
      </c>
    </row>
    <row r="152" spans="2:94" ht="15" customHeight="1" x14ac:dyDescent="0.3">
      <c r="B152" s="1741"/>
      <c r="C152" s="1678" t="s">
        <v>2204</v>
      </c>
      <c r="D152" s="1260" t="s">
        <v>2206</v>
      </c>
      <c r="E152" s="1260" t="s">
        <v>1317</v>
      </c>
      <c r="F152" s="1264" t="s">
        <v>1352</v>
      </c>
      <c r="G152" s="1264" t="s">
        <v>2203</v>
      </c>
      <c r="H152" s="1260" t="s">
        <v>1353</v>
      </c>
      <c r="I152" s="1262"/>
      <c r="J152" s="1263"/>
      <c r="K152" s="1261"/>
      <c r="L152" s="1259"/>
      <c r="M152" s="1259"/>
      <c r="N152" s="1679" t="s">
        <v>2203</v>
      </c>
      <c r="O152" s="1679">
        <v>0</v>
      </c>
      <c r="P152" s="1679">
        <v>0</v>
      </c>
      <c r="Q152" s="1679">
        <v>0</v>
      </c>
      <c r="R152" s="1679">
        <v>0</v>
      </c>
      <c r="S152" s="1679">
        <v>0</v>
      </c>
      <c r="T152" s="1679">
        <v>0</v>
      </c>
      <c r="U152" s="1679">
        <v>0</v>
      </c>
      <c r="V152" s="1679">
        <v>0</v>
      </c>
      <c r="W152" s="1679">
        <v>0</v>
      </c>
      <c r="X152" s="1679">
        <v>0</v>
      </c>
      <c r="Y152" s="1680">
        <v>2.398488</v>
      </c>
      <c r="Z152" s="1681">
        <v>2.398488</v>
      </c>
      <c r="AA152" s="1681">
        <v>2.398488</v>
      </c>
      <c r="AB152" s="1681">
        <v>2.398488</v>
      </c>
      <c r="AC152" s="1681">
        <v>2.398488</v>
      </c>
      <c r="AD152" s="1681">
        <v>2.398488</v>
      </c>
      <c r="AE152" s="1681">
        <v>2.398488</v>
      </c>
      <c r="AF152" s="1681">
        <v>2.398488</v>
      </c>
      <c r="AG152" s="1681">
        <v>2.398488</v>
      </c>
      <c r="AH152" s="1681">
        <v>2.398488</v>
      </c>
      <c r="AI152" s="1681">
        <v>2.398488</v>
      </c>
      <c r="AJ152" s="1681">
        <v>2.398488</v>
      </c>
      <c r="AK152" s="1681">
        <v>2.398488</v>
      </c>
      <c r="AL152" s="1681">
        <v>2.398488</v>
      </c>
      <c r="AM152" s="1681">
        <v>2.398488</v>
      </c>
      <c r="AN152" s="1681">
        <v>2.398488</v>
      </c>
      <c r="AO152" s="1681">
        <v>2.398488</v>
      </c>
      <c r="AP152" s="1681">
        <v>2.398488</v>
      </c>
      <c r="AQ152" s="1681">
        <v>2.398488</v>
      </c>
      <c r="AR152" s="1681">
        <v>2.398488</v>
      </c>
      <c r="AS152" s="1681">
        <v>2.398488</v>
      </c>
      <c r="AT152" s="1681">
        <v>2.398488</v>
      </c>
      <c r="AU152" s="1681">
        <v>2.398488</v>
      </c>
      <c r="AV152" s="1681">
        <v>2.398488</v>
      </c>
      <c r="AW152" s="1681">
        <v>2.398488</v>
      </c>
      <c r="AX152" s="1681">
        <v>2.398488</v>
      </c>
      <c r="AY152" s="1681">
        <v>2.398488</v>
      </c>
      <c r="AZ152" s="1681">
        <v>2.398488</v>
      </c>
      <c r="BA152" s="1681">
        <v>2.398488</v>
      </c>
      <c r="BB152" s="1681">
        <v>2.398488</v>
      </c>
      <c r="BC152" s="1681">
        <v>2.398488</v>
      </c>
      <c r="BD152" s="1681">
        <v>2.398488</v>
      </c>
      <c r="BE152" s="1681">
        <v>2.398488</v>
      </c>
      <c r="BF152" s="1681">
        <v>2.398488</v>
      </c>
      <c r="BG152" s="1681">
        <v>2.398488</v>
      </c>
      <c r="BH152" s="1681">
        <v>2.398488</v>
      </c>
      <c r="BI152" s="1681">
        <v>2.398488</v>
      </c>
      <c r="BJ152" s="1681">
        <v>2.398488</v>
      </c>
      <c r="BK152" s="1681">
        <v>2.398488</v>
      </c>
      <c r="BL152" s="1681">
        <v>2.398488</v>
      </c>
      <c r="BM152" s="1681">
        <v>2.398488</v>
      </c>
      <c r="BN152" s="1681">
        <v>2.398488</v>
      </c>
      <c r="BO152" s="1681">
        <v>2.398488</v>
      </c>
      <c r="BP152" s="1681">
        <v>2.398488</v>
      </c>
      <c r="BQ152" s="1681">
        <v>2.398488</v>
      </c>
      <c r="BR152" s="1681">
        <v>2.398488</v>
      </c>
      <c r="BS152" s="1681">
        <v>2.398488</v>
      </c>
      <c r="BT152" s="1681">
        <v>2.398488</v>
      </c>
      <c r="BU152" s="1681">
        <v>2.398488</v>
      </c>
      <c r="BV152" s="1681">
        <v>2.398488</v>
      </c>
      <c r="BW152" s="1681">
        <v>2.398488</v>
      </c>
      <c r="BX152" s="1681">
        <v>2.398488</v>
      </c>
      <c r="BY152" s="1681">
        <v>2.398488</v>
      </c>
      <c r="BZ152" s="1681">
        <v>2.398488</v>
      </c>
      <c r="CA152" s="1681">
        <v>2.398488</v>
      </c>
      <c r="CB152" s="1681">
        <v>2.398488</v>
      </c>
      <c r="CC152" s="1681">
        <v>2.398488</v>
      </c>
      <c r="CD152" s="1681">
        <v>2.398488</v>
      </c>
      <c r="CE152" s="1681">
        <v>2.398488</v>
      </c>
      <c r="CF152" s="1681">
        <v>2.398488</v>
      </c>
      <c r="CG152" s="1681">
        <v>2.398488</v>
      </c>
      <c r="CH152" s="1681">
        <v>2.398488</v>
      </c>
      <c r="CI152" s="1681">
        <v>2.398488</v>
      </c>
      <c r="CJ152" s="1681">
        <v>2.398488</v>
      </c>
      <c r="CK152" s="1681">
        <v>2.398488</v>
      </c>
      <c r="CL152" s="1681">
        <v>2.398488</v>
      </c>
      <c r="CM152" s="1681">
        <v>2.398488</v>
      </c>
      <c r="CN152" s="1681">
        <v>2.398488</v>
      </c>
      <c r="CO152" s="1681">
        <v>2.398488</v>
      </c>
      <c r="CP152" s="1682">
        <v>2.398488</v>
      </c>
    </row>
    <row r="153" spans="2:94" ht="28" x14ac:dyDescent="0.3">
      <c r="B153" s="1741"/>
      <c r="C153" s="1683" t="s">
        <v>2204</v>
      </c>
      <c r="D153" s="1260" t="s">
        <v>2207</v>
      </c>
      <c r="E153" s="1260" t="str" cm="1">
        <f t="array" ref="E153:E185">[2]!Table6[Asset life category lookup table]</f>
        <v>Land (Non depreciating)</v>
      </c>
      <c r="F153" s="1264"/>
      <c r="G153" s="1264" t="str" cm="1">
        <f t="array" ref="G153:G185">_xlfn.LET(_xlpm.x,[2]!Table6[Years],IF(_xlpm.x="ND","",_xlpm.x))</f>
        <v/>
      </c>
      <c r="H153" s="1260" t="str" cm="1">
        <f t="array" ref="H153:H185">IF(_xlfn.ANCHORARRAY(E153)&lt;&gt;"","Fixed","")</f>
        <v>Fixed</v>
      </c>
      <c r="I153" s="1262"/>
      <c r="J153" s="1263"/>
      <c r="K153" s="1261"/>
      <c r="L153" s="1684"/>
      <c r="M153" s="1685"/>
      <c r="N153" s="1686" t="s">
        <v>2203</v>
      </c>
      <c r="O153" s="1686">
        <v>8.4285667746559998</v>
      </c>
      <c r="P153" s="1686">
        <v>8.4285667746559998</v>
      </c>
      <c r="Q153" s="1686">
        <v>8.4285667746559998</v>
      </c>
      <c r="R153" s="1686">
        <v>8.4285667746559998</v>
      </c>
      <c r="S153" s="1686">
        <v>0</v>
      </c>
      <c r="T153" s="1686">
        <v>0</v>
      </c>
      <c r="U153" s="1686">
        <v>0</v>
      </c>
      <c r="V153" s="1686">
        <v>0</v>
      </c>
      <c r="W153" s="1686">
        <v>0</v>
      </c>
      <c r="X153" s="1686">
        <v>0</v>
      </c>
      <c r="Y153" s="1686">
        <v>0</v>
      </c>
      <c r="Z153" s="1686">
        <v>0</v>
      </c>
      <c r="AA153" s="1686">
        <v>0</v>
      </c>
      <c r="AB153" s="1686">
        <v>0</v>
      </c>
      <c r="AC153" s="1686">
        <v>0</v>
      </c>
      <c r="AD153" s="1686">
        <v>0</v>
      </c>
      <c r="AE153" s="1686">
        <v>0</v>
      </c>
      <c r="AF153" s="1686">
        <v>0</v>
      </c>
      <c r="AG153" s="1686">
        <v>0</v>
      </c>
      <c r="AH153" s="1686">
        <v>0</v>
      </c>
      <c r="AI153" s="1686">
        <v>0</v>
      </c>
      <c r="AJ153" s="1686">
        <v>0</v>
      </c>
      <c r="AK153" s="1686">
        <v>0</v>
      </c>
      <c r="AL153" s="1686">
        <v>0</v>
      </c>
      <c r="AM153" s="1686">
        <v>0</v>
      </c>
      <c r="AN153" s="1686">
        <v>0</v>
      </c>
      <c r="AO153" s="1686">
        <v>0</v>
      </c>
      <c r="AP153" s="1686">
        <v>0</v>
      </c>
      <c r="AQ153" s="1686">
        <v>0</v>
      </c>
      <c r="AR153" s="1686">
        <v>0</v>
      </c>
      <c r="AS153" s="1686">
        <v>0</v>
      </c>
      <c r="AT153" s="1686">
        <v>0</v>
      </c>
      <c r="AU153" s="1686">
        <v>0</v>
      </c>
      <c r="AV153" s="1686">
        <v>0</v>
      </c>
      <c r="AW153" s="1686">
        <v>0</v>
      </c>
      <c r="AX153" s="1686">
        <v>0</v>
      </c>
      <c r="AY153" s="1686">
        <v>0</v>
      </c>
      <c r="AZ153" s="1686">
        <v>0</v>
      </c>
      <c r="BA153" s="1686">
        <v>0</v>
      </c>
      <c r="BB153" s="1686">
        <v>0</v>
      </c>
      <c r="BC153" s="1686">
        <v>0</v>
      </c>
      <c r="BD153" s="1686">
        <v>0</v>
      </c>
      <c r="BE153" s="1686">
        <v>0</v>
      </c>
      <c r="BF153" s="1686">
        <v>0</v>
      </c>
      <c r="BG153" s="1686">
        <v>0</v>
      </c>
      <c r="BH153" s="1686">
        <v>0</v>
      </c>
      <c r="BI153" s="1686">
        <v>0</v>
      </c>
      <c r="BJ153" s="1686">
        <v>0</v>
      </c>
      <c r="BK153" s="1686">
        <v>0</v>
      </c>
      <c r="BL153" s="1686">
        <v>0</v>
      </c>
      <c r="BM153" s="1686">
        <v>0</v>
      </c>
      <c r="BN153" s="1686">
        <v>0</v>
      </c>
      <c r="BO153" s="1686">
        <v>0</v>
      </c>
      <c r="BP153" s="1686">
        <v>0</v>
      </c>
      <c r="BQ153" s="1686">
        <v>0</v>
      </c>
      <c r="BR153" s="1686">
        <v>0</v>
      </c>
      <c r="BS153" s="1686">
        <v>0</v>
      </c>
      <c r="BT153" s="1686">
        <v>0</v>
      </c>
      <c r="BU153" s="1686">
        <v>0</v>
      </c>
      <c r="BV153" s="1686">
        <v>0</v>
      </c>
      <c r="BW153" s="1686">
        <v>0</v>
      </c>
      <c r="BX153" s="1686">
        <v>0</v>
      </c>
      <c r="BY153" s="1686">
        <v>0</v>
      </c>
      <c r="BZ153" s="1686">
        <v>0</v>
      </c>
      <c r="CA153" s="1686">
        <v>0</v>
      </c>
      <c r="CB153" s="1686">
        <v>0</v>
      </c>
      <c r="CC153" s="1686">
        <v>0</v>
      </c>
      <c r="CD153" s="1686">
        <v>0</v>
      </c>
      <c r="CE153" s="1686">
        <v>0</v>
      </c>
      <c r="CF153" s="1686">
        <v>0</v>
      </c>
      <c r="CG153" s="1686">
        <v>0</v>
      </c>
      <c r="CH153" s="1686">
        <v>0</v>
      </c>
      <c r="CI153" s="1686">
        <v>0</v>
      </c>
      <c r="CJ153" s="1686">
        <v>0</v>
      </c>
      <c r="CK153" s="1686">
        <v>0</v>
      </c>
      <c r="CL153" s="1686">
        <v>0</v>
      </c>
      <c r="CM153" s="1686">
        <v>0</v>
      </c>
      <c r="CN153" s="1686">
        <v>0</v>
      </c>
      <c r="CO153" s="1686">
        <v>0</v>
      </c>
      <c r="CP153" s="1687">
        <v>0</v>
      </c>
    </row>
    <row r="154" spans="2:94" ht="42" x14ac:dyDescent="0.3">
      <c r="B154" s="1741"/>
      <c r="C154" s="1678" t="s">
        <v>2204</v>
      </c>
      <c r="D154" s="1260" t="s">
        <v>2208</v>
      </c>
      <c r="E154" s="1260" t="str">
        <v>Planning and Development (Non depreciating)</v>
      </c>
      <c r="F154" s="1264"/>
      <c r="G154" s="1264" t="str">
        <v/>
      </c>
      <c r="H154" s="1260" t="str">
        <v>Fixed</v>
      </c>
      <c r="I154" s="1262"/>
      <c r="J154" s="1263"/>
      <c r="K154" s="1261"/>
      <c r="L154" s="1684"/>
      <c r="M154" s="1685"/>
      <c r="N154" s="1686" t="s">
        <v>2203</v>
      </c>
      <c r="O154" s="1686">
        <v>51.46310904620826</v>
      </c>
      <c r="P154" s="1686">
        <v>51.46310904620826</v>
      </c>
      <c r="Q154" s="1686">
        <v>51.46310904620826</v>
      </c>
      <c r="R154" s="1686">
        <v>51.46310904620826</v>
      </c>
      <c r="S154" s="1686">
        <v>0</v>
      </c>
      <c r="T154" s="1686">
        <v>0</v>
      </c>
      <c r="U154" s="1686">
        <v>0</v>
      </c>
      <c r="V154" s="1686">
        <v>0</v>
      </c>
      <c r="W154" s="1686">
        <v>0</v>
      </c>
      <c r="X154" s="1686">
        <v>0</v>
      </c>
      <c r="Y154" s="1686">
        <v>0</v>
      </c>
      <c r="Z154" s="1686">
        <v>0</v>
      </c>
      <c r="AA154" s="1686">
        <v>0</v>
      </c>
      <c r="AB154" s="1686">
        <v>0</v>
      </c>
      <c r="AC154" s="1686">
        <v>0</v>
      </c>
      <c r="AD154" s="1686">
        <v>0</v>
      </c>
      <c r="AE154" s="1686">
        <v>0</v>
      </c>
      <c r="AF154" s="1686">
        <v>0</v>
      </c>
      <c r="AG154" s="1686">
        <v>0</v>
      </c>
      <c r="AH154" s="1686">
        <v>0</v>
      </c>
      <c r="AI154" s="1686">
        <v>0</v>
      </c>
      <c r="AJ154" s="1686">
        <v>0</v>
      </c>
      <c r="AK154" s="1686">
        <v>0</v>
      </c>
      <c r="AL154" s="1686">
        <v>0</v>
      </c>
      <c r="AM154" s="1686">
        <v>0</v>
      </c>
      <c r="AN154" s="1686">
        <v>0</v>
      </c>
      <c r="AO154" s="1686">
        <v>0</v>
      </c>
      <c r="AP154" s="1686">
        <v>0</v>
      </c>
      <c r="AQ154" s="1686">
        <v>0</v>
      </c>
      <c r="AR154" s="1686">
        <v>0</v>
      </c>
      <c r="AS154" s="1686">
        <v>0</v>
      </c>
      <c r="AT154" s="1686">
        <v>0</v>
      </c>
      <c r="AU154" s="1686">
        <v>0</v>
      </c>
      <c r="AV154" s="1686">
        <v>0</v>
      </c>
      <c r="AW154" s="1686">
        <v>0</v>
      </c>
      <c r="AX154" s="1686">
        <v>0</v>
      </c>
      <c r="AY154" s="1686">
        <v>0</v>
      </c>
      <c r="AZ154" s="1686">
        <v>0</v>
      </c>
      <c r="BA154" s="1686">
        <v>0</v>
      </c>
      <c r="BB154" s="1686">
        <v>0</v>
      </c>
      <c r="BC154" s="1686">
        <v>0</v>
      </c>
      <c r="BD154" s="1686">
        <v>0</v>
      </c>
      <c r="BE154" s="1686">
        <v>0</v>
      </c>
      <c r="BF154" s="1686">
        <v>0</v>
      </c>
      <c r="BG154" s="1686">
        <v>0</v>
      </c>
      <c r="BH154" s="1686">
        <v>0</v>
      </c>
      <c r="BI154" s="1686">
        <v>0</v>
      </c>
      <c r="BJ154" s="1686">
        <v>0</v>
      </c>
      <c r="BK154" s="1686">
        <v>0</v>
      </c>
      <c r="BL154" s="1686">
        <v>0</v>
      </c>
      <c r="BM154" s="1686">
        <v>0</v>
      </c>
      <c r="BN154" s="1686">
        <v>0</v>
      </c>
      <c r="BO154" s="1686">
        <v>0</v>
      </c>
      <c r="BP154" s="1686">
        <v>0</v>
      </c>
      <c r="BQ154" s="1686">
        <v>0</v>
      </c>
      <c r="BR154" s="1686">
        <v>0</v>
      </c>
      <c r="BS154" s="1686">
        <v>0</v>
      </c>
      <c r="BT154" s="1686">
        <v>0</v>
      </c>
      <c r="BU154" s="1686">
        <v>0</v>
      </c>
      <c r="BV154" s="1686">
        <v>0</v>
      </c>
      <c r="BW154" s="1686">
        <v>0</v>
      </c>
      <c r="BX154" s="1686">
        <v>0</v>
      </c>
      <c r="BY154" s="1686">
        <v>0</v>
      </c>
      <c r="BZ154" s="1686">
        <v>0</v>
      </c>
      <c r="CA154" s="1686">
        <v>0</v>
      </c>
      <c r="CB154" s="1686">
        <v>0</v>
      </c>
      <c r="CC154" s="1686">
        <v>0</v>
      </c>
      <c r="CD154" s="1686">
        <v>0</v>
      </c>
      <c r="CE154" s="1686">
        <v>0</v>
      </c>
      <c r="CF154" s="1686">
        <v>0</v>
      </c>
      <c r="CG154" s="1686">
        <v>0</v>
      </c>
      <c r="CH154" s="1686">
        <v>0</v>
      </c>
      <c r="CI154" s="1686">
        <v>0</v>
      </c>
      <c r="CJ154" s="1686">
        <v>0</v>
      </c>
      <c r="CK154" s="1686">
        <v>0</v>
      </c>
      <c r="CL154" s="1686">
        <v>0</v>
      </c>
      <c r="CM154" s="1686">
        <v>0</v>
      </c>
      <c r="CN154" s="1686">
        <v>0</v>
      </c>
      <c r="CO154" s="1686">
        <v>0</v>
      </c>
      <c r="CP154" s="1687">
        <v>0</v>
      </c>
    </row>
    <row r="155" spans="2:94" ht="56" x14ac:dyDescent="0.3">
      <c r="B155" s="1741"/>
      <c r="C155" s="1678" t="s">
        <v>2204</v>
      </c>
      <c r="D155" s="1260" t="s">
        <v>2209</v>
      </c>
      <c r="E155" s="1260" t="str">
        <v>Other Non-Depreciating Assets (Non depreciating)</v>
      </c>
      <c r="F155" s="1264"/>
      <c r="G155" s="1264" t="str">
        <v/>
      </c>
      <c r="H155" s="1260" t="str">
        <v>Fixed</v>
      </c>
      <c r="I155" s="1262"/>
      <c r="J155" s="1263"/>
      <c r="K155" s="1261"/>
      <c r="L155" s="1684"/>
      <c r="M155" s="1685"/>
      <c r="N155" s="1686" t="s">
        <v>2203</v>
      </c>
      <c r="O155" s="1686">
        <v>0</v>
      </c>
      <c r="P155" s="1686">
        <v>0</v>
      </c>
      <c r="Q155" s="1686">
        <v>0</v>
      </c>
      <c r="R155" s="1686">
        <v>0</v>
      </c>
      <c r="S155" s="1686">
        <v>0.15417536014631644</v>
      </c>
      <c r="T155" s="1686">
        <v>0.15417536014631644</v>
      </c>
      <c r="U155" s="1686">
        <v>0.46252608043894927</v>
      </c>
      <c r="V155" s="1686">
        <v>0.92505216087789854</v>
      </c>
      <c r="W155" s="1686">
        <v>0.92505216087789854</v>
      </c>
      <c r="X155" s="1686">
        <v>0.46252608043894927</v>
      </c>
      <c r="Y155" s="1686">
        <v>0</v>
      </c>
      <c r="Z155" s="1686">
        <v>0</v>
      </c>
      <c r="AA155" s="1686">
        <v>0</v>
      </c>
      <c r="AB155" s="1686">
        <v>0</v>
      </c>
      <c r="AC155" s="1686">
        <v>0</v>
      </c>
      <c r="AD155" s="1686">
        <v>0</v>
      </c>
      <c r="AE155" s="1686">
        <v>0</v>
      </c>
      <c r="AF155" s="1686">
        <v>0</v>
      </c>
      <c r="AG155" s="1686">
        <v>0</v>
      </c>
      <c r="AH155" s="1686">
        <v>0</v>
      </c>
      <c r="AI155" s="1686">
        <v>0</v>
      </c>
      <c r="AJ155" s="1686">
        <v>0</v>
      </c>
      <c r="AK155" s="1686">
        <v>0</v>
      </c>
      <c r="AL155" s="1686">
        <v>0</v>
      </c>
      <c r="AM155" s="1686">
        <v>0</v>
      </c>
      <c r="AN155" s="1686">
        <v>0</v>
      </c>
      <c r="AO155" s="1686">
        <v>0</v>
      </c>
      <c r="AP155" s="1686">
        <v>0</v>
      </c>
      <c r="AQ155" s="1686">
        <v>0</v>
      </c>
      <c r="AR155" s="1686">
        <v>0</v>
      </c>
      <c r="AS155" s="1686">
        <v>0</v>
      </c>
      <c r="AT155" s="1686">
        <v>0</v>
      </c>
      <c r="AU155" s="1686">
        <v>0</v>
      </c>
      <c r="AV155" s="1686">
        <v>0</v>
      </c>
      <c r="AW155" s="1686">
        <v>0</v>
      </c>
      <c r="AX155" s="1686">
        <v>0</v>
      </c>
      <c r="AY155" s="1686">
        <v>0</v>
      </c>
      <c r="AZ155" s="1686">
        <v>0</v>
      </c>
      <c r="BA155" s="1686">
        <v>0</v>
      </c>
      <c r="BB155" s="1686">
        <v>0</v>
      </c>
      <c r="BC155" s="1686">
        <v>0</v>
      </c>
      <c r="BD155" s="1686">
        <v>0</v>
      </c>
      <c r="BE155" s="1686">
        <v>0</v>
      </c>
      <c r="BF155" s="1686">
        <v>0</v>
      </c>
      <c r="BG155" s="1686">
        <v>0</v>
      </c>
      <c r="BH155" s="1686">
        <v>0</v>
      </c>
      <c r="BI155" s="1686">
        <v>0</v>
      </c>
      <c r="BJ155" s="1686">
        <v>0</v>
      </c>
      <c r="BK155" s="1686">
        <v>0</v>
      </c>
      <c r="BL155" s="1686">
        <v>0</v>
      </c>
      <c r="BM155" s="1686">
        <v>0</v>
      </c>
      <c r="BN155" s="1686">
        <v>0</v>
      </c>
      <c r="BO155" s="1686">
        <v>0</v>
      </c>
      <c r="BP155" s="1686">
        <v>0</v>
      </c>
      <c r="BQ155" s="1686">
        <v>0</v>
      </c>
      <c r="BR155" s="1686">
        <v>0</v>
      </c>
      <c r="BS155" s="1686">
        <v>0</v>
      </c>
      <c r="BT155" s="1686">
        <v>0</v>
      </c>
      <c r="BU155" s="1686">
        <v>0</v>
      </c>
      <c r="BV155" s="1686">
        <v>0</v>
      </c>
      <c r="BW155" s="1686">
        <v>0</v>
      </c>
      <c r="BX155" s="1686">
        <v>0</v>
      </c>
      <c r="BY155" s="1686">
        <v>0</v>
      </c>
      <c r="BZ155" s="1686">
        <v>0</v>
      </c>
      <c r="CA155" s="1686">
        <v>0</v>
      </c>
      <c r="CB155" s="1686">
        <v>0</v>
      </c>
      <c r="CC155" s="1686">
        <v>0</v>
      </c>
      <c r="CD155" s="1686">
        <v>0</v>
      </c>
      <c r="CE155" s="1686">
        <v>0</v>
      </c>
      <c r="CF155" s="1686">
        <v>0</v>
      </c>
      <c r="CG155" s="1686">
        <v>0</v>
      </c>
      <c r="CH155" s="1686">
        <v>0</v>
      </c>
      <c r="CI155" s="1686">
        <v>0</v>
      </c>
      <c r="CJ155" s="1686">
        <v>0</v>
      </c>
      <c r="CK155" s="1686">
        <v>0</v>
      </c>
      <c r="CL155" s="1686">
        <v>0</v>
      </c>
      <c r="CM155" s="1686">
        <v>0</v>
      </c>
      <c r="CN155" s="1686">
        <v>0</v>
      </c>
      <c r="CO155" s="1686">
        <v>0</v>
      </c>
      <c r="CP155" s="1687">
        <v>0</v>
      </c>
    </row>
    <row r="156" spans="2:94" ht="42" x14ac:dyDescent="0.3">
      <c r="B156" s="1741"/>
      <c r="C156" s="1678" t="s">
        <v>2204</v>
      </c>
      <c r="D156" s="1260" t="s">
        <v>2210</v>
      </c>
      <c r="E156" s="1260" t="str">
        <v>Process-Related Carbon Media Including GAC (4)</v>
      </c>
      <c r="F156" s="1264"/>
      <c r="G156" s="1264">
        <v>4</v>
      </c>
      <c r="H156" s="1260" t="str">
        <v>Fixed</v>
      </c>
      <c r="I156" s="1262"/>
      <c r="J156" s="1263"/>
      <c r="K156" s="1261"/>
      <c r="L156" s="1684"/>
      <c r="M156" s="1685"/>
      <c r="N156" s="1686" t="s">
        <v>2203</v>
      </c>
      <c r="O156" s="1686">
        <v>0</v>
      </c>
      <c r="P156" s="1686">
        <v>0</v>
      </c>
      <c r="Q156" s="1686">
        <v>0</v>
      </c>
      <c r="R156" s="1686">
        <v>0</v>
      </c>
      <c r="S156" s="1686">
        <v>0</v>
      </c>
      <c r="T156" s="1686">
        <v>0</v>
      </c>
      <c r="U156" s="1686">
        <v>0</v>
      </c>
      <c r="V156" s="1686">
        <v>0</v>
      </c>
      <c r="W156" s="1686">
        <v>0</v>
      </c>
      <c r="X156" s="1686">
        <v>0</v>
      </c>
      <c r="Y156" s="1686">
        <v>0</v>
      </c>
      <c r="Z156" s="1686">
        <v>0</v>
      </c>
      <c r="AA156" s="1686">
        <v>0</v>
      </c>
      <c r="AB156" s="1686">
        <v>0</v>
      </c>
      <c r="AC156" s="1686">
        <v>0</v>
      </c>
      <c r="AD156" s="1686">
        <v>0</v>
      </c>
      <c r="AE156" s="1686">
        <v>0</v>
      </c>
      <c r="AF156" s="1686">
        <v>0</v>
      </c>
      <c r="AG156" s="1686">
        <v>0</v>
      </c>
      <c r="AH156" s="1686">
        <v>0</v>
      </c>
      <c r="AI156" s="1686">
        <v>0</v>
      </c>
      <c r="AJ156" s="1686">
        <v>0</v>
      </c>
      <c r="AK156" s="1686">
        <v>0</v>
      </c>
      <c r="AL156" s="1686">
        <v>0</v>
      </c>
      <c r="AM156" s="1686">
        <v>0</v>
      </c>
      <c r="AN156" s="1686">
        <v>0</v>
      </c>
      <c r="AO156" s="1686">
        <v>0</v>
      </c>
      <c r="AP156" s="1686">
        <v>0</v>
      </c>
      <c r="AQ156" s="1686">
        <v>0</v>
      </c>
      <c r="AR156" s="1686">
        <v>0</v>
      </c>
      <c r="AS156" s="1686">
        <v>0</v>
      </c>
      <c r="AT156" s="1686">
        <v>0</v>
      </c>
      <c r="AU156" s="1686">
        <v>0</v>
      </c>
      <c r="AV156" s="1686">
        <v>0</v>
      </c>
      <c r="AW156" s="1686">
        <v>0</v>
      </c>
      <c r="AX156" s="1686">
        <v>0</v>
      </c>
      <c r="AY156" s="1686">
        <v>0</v>
      </c>
      <c r="AZ156" s="1686">
        <v>0</v>
      </c>
      <c r="BA156" s="1686">
        <v>0</v>
      </c>
      <c r="BB156" s="1686">
        <v>0</v>
      </c>
      <c r="BC156" s="1686">
        <v>0</v>
      </c>
      <c r="BD156" s="1686">
        <v>0</v>
      </c>
      <c r="BE156" s="1686">
        <v>0</v>
      </c>
      <c r="BF156" s="1686">
        <v>0</v>
      </c>
      <c r="BG156" s="1686">
        <v>0</v>
      </c>
      <c r="BH156" s="1686">
        <v>0</v>
      </c>
      <c r="BI156" s="1686">
        <v>0</v>
      </c>
      <c r="BJ156" s="1686">
        <v>0</v>
      </c>
      <c r="BK156" s="1686">
        <v>0</v>
      </c>
      <c r="BL156" s="1686">
        <v>0</v>
      </c>
      <c r="BM156" s="1686">
        <v>0</v>
      </c>
      <c r="BN156" s="1686">
        <v>0</v>
      </c>
      <c r="BO156" s="1686">
        <v>0</v>
      </c>
      <c r="BP156" s="1686">
        <v>0</v>
      </c>
      <c r="BQ156" s="1686">
        <v>0</v>
      </c>
      <c r="BR156" s="1686">
        <v>0</v>
      </c>
      <c r="BS156" s="1686">
        <v>0</v>
      </c>
      <c r="BT156" s="1686">
        <v>0</v>
      </c>
      <c r="BU156" s="1686">
        <v>0</v>
      </c>
      <c r="BV156" s="1686">
        <v>0</v>
      </c>
      <c r="BW156" s="1686">
        <v>0</v>
      </c>
      <c r="BX156" s="1686">
        <v>0</v>
      </c>
      <c r="BY156" s="1686">
        <v>0</v>
      </c>
      <c r="BZ156" s="1686">
        <v>0</v>
      </c>
      <c r="CA156" s="1686">
        <v>0</v>
      </c>
      <c r="CB156" s="1686">
        <v>0</v>
      </c>
      <c r="CC156" s="1686">
        <v>0</v>
      </c>
      <c r="CD156" s="1686">
        <v>0</v>
      </c>
      <c r="CE156" s="1686">
        <v>0</v>
      </c>
      <c r="CF156" s="1686">
        <v>0</v>
      </c>
      <c r="CG156" s="1686">
        <v>0</v>
      </c>
      <c r="CH156" s="1686">
        <v>0</v>
      </c>
      <c r="CI156" s="1686">
        <v>0</v>
      </c>
      <c r="CJ156" s="1686">
        <v>0</v>
      </c>
      <c r="CK156" s="1686">
        <v>0</v>
      </c>
      <c r="CL156" s="1686">
        <v>0</v>
      </c>
      <c r="CM156" s="1686">
        <v>0</v>
      </c>
      <c r="CN156" s="1686">
        <v>0</v>
      </c>
      <c r="CO156" s="1686">
        <v>0</v>
      </c>
      <c r="CP156" s="1687">
        <v>0</v>
      </c>
    </row>
    <row r="157" spans="2:94" ht="15" customHeight="1" x14ac:dyDescent="0.3">
      <c r="B157" s="1741"/>
      <c r="C157" s="1678" t="s">
        <v>2204</v>
      </c>
      <c r="D157" s="1260" t="s">
        <v>2211</v>
      </c>
      <c r="E157" s="1260" t="str">
        <v>Vehicles (4)</v>
      </c>
      <c r="F157" s="1264"/>
      <c r="G157" s="1264">
        <v>4</v>
      </c>
      <c r="H157" s="1260" t="str">
        <v>Fixed</v>
      </c>
      <c r="I157" s="1262"/>
      <c r="J157" s="1263"/>
      <c r="K157" s="1261"/>
      <c r="L157" s="1684"/>
      <c r="M157" s="1685"/>
      <c r="N157" s="1686" t="s">
        <v>2203</v>
      </c>
      <c r="O157" s="1686">
        <v>0</v>
      </c>
      <c r="P157" s="1686">
        <v>0</v>
      </c>
      <c r="Q157" s="1686">
        <v>0</v>
      </c>
      <c r="R157" s="1686">
        <v>0</v>
      </c>
      <c r="S157" s="1686">
        <v>0</v>
      </c>
      <c r="T157" s="1686">
        <v>0</v>
      </c>
      <c r="U157" s="1686">
        <v>0</v>
      </c>
      <c r="V157" s="1686">
        <v>0</v>
      </c>
      <c r="W157" s="1686">
        <v>0</v>
      </c>
      <c r="X157" s="1686">
        <v>0</v>
      </c>
      <c r="Y157" s="1686">
        <v>0</v>
      </c>
      <c r="Z157" s="1686">
        <v>0</v>
      </c>
      <c r="AA157" s="1686">
        <v>0</v>
      </c>
      <c r="AB157" s="1686">
        <v>0</v>
      </c>
      <c r="AC157" s="1686">
        <v>0</v>
      </c>
      <c r="AD157" s="1686">
        <v>0</v>
      </c>
      <c r="AE157" s="1686">
        <v>0</v>
      </c>
      <c r="AF157" s="1686">
        <v>0</v>
      </c>
      <c r="AG157" s="1686">
        <v>0</v>
      </c>
      <c r="AH157" s="1686">
        <v>0</v>
      </c>
      <c r="AI157" s="1686">
        <v>0</v>
      </c>
      <c r="AJ157" s="1686">
        <v>0</v>
      </c>
      <c r="AK157" s="1686">
        <v>0</v>
      </c>
      <c r="AL157" s="1686">
        <v>0</v>
      </c>
      <c r="AM157" s="1686">
        <v>0</v>
      </c>
      <c r="AN157" s="1686">
        <v>0</v>
      </c>
      <c r="AO157" s="1686">
        <v>0</v>
      </c>
      <c r="AP157" s="1686">
        <v>0</v>
      </c>
      <c r="AQ157" s="1686">
        <v>0</v>
      </c>
      <c r="AR157" s="1686">
        <v>0</v>
      </c>
      <c r="AS157" s="1686">
        <v>0</v>
      </c>
      <c r="AT157" s="1686">
        <v>0</v>
      </c>
      <c r="AU157" s="1686">
        <v>0</v>
      </c>
      <c r="AV157" s="1686">
        <v>0</v>
      </c>
      <c r="AW157" s="1686">
        <v>0</v>
      </c>
      <c r="AX157" s="1686">
        <v>0</v>
      </c>
      <c r="AY157" s="1686">
        <v>0</v>
      </c>
      <c r="AZ157" s="1686">
        <v>0</v>
      </c>
      <c r="BA157" s="1686">
        <v>0</v>
      </c>
      <c r="BB157" s="1686">
        <v>0</v>
      </c>
      <c r="BC157" s="1686">
        <v>0</v>
      </c>
      <c r="BD157" s="1686">
        <v>0</v>
      </c>
      <c r="BE157" s="1686">
        <v>0</v>
      </c>
      <c r="BF157" s="1686">
        <v>0</v>
      </c>
      <c r="BG157" s="1686">
        <v>0</v>
      </c>
      <c r="BH157" s="1686">
        <v>0</v>
      </c>
      <c r="BI157" s="1686">
        <v>0</v>
      </c>
      <c r="BJ157" s="1686">
        <v>0</v>
      </c>
      <c r="BK157" s="1686">
        <v>0</v>
      </c>
      <c r="BL157" s="1686">
        <v>0</v>
      </c>
      <c r="BM157" s="1686">
        <v>0</v>
      </c>
      <c r="BN157" s="1686">
        <v>0</v>
      </c>
      <c r="BO157" s="1686">
        <v>0</v>
      </c>
      <c r="BP157" s="1686">
        <v>0</v>
      </c>
      <c r="BQ157" s="1686">
        <v>0</v>
      </c>
      <c r="BR157" s="1686">
        <v>0</v>
      </c>
      <c r="BS157" s="1686">
        <v>0</v>
      </c>
      <c r="BT157" s="1686">
        <v>0</v>
      </c>
      <c r="BU157" s="1686">
        <v>0</v>
      </c>
      <c r="BV157" s="1686">
        <v>0</v>
      </c>
      <c r="BW157" s="1686">
        <v>0</v>
      </c>
      <c r="BX157" s="1686">
        <v>0</v>
      </c>
      <c r="BY157" s="1686">
        <v>0</v>
      </c>
      <c r="BZ157" s="1686">
        <v>0</v>
      </c>
      <c r="CA157" s="1686">
        <v>0</v>
      </c>
      <c r="CB157" s="1686">
        <v>0</v>
      </c>
      <c r="CC157" s="1686">
        <v>0</v>
      </c>
      <c r="CD157" s="1686">
        <v>0</v>
      </c>
      <c r="CE157" s="1686">
        <v>0</v>
      </c>
      <c r="CF157" s="1686">
        <v>0</v>
      </c>
      <c r="CG157" s="1686">
        <v>0</v>
      </c>
      <c r="CH157" s="1686">
        <v>0</v>
      </c>
      <c r="CI157" s="1686">
        <v>0</v>
      </c>
      <c r="CJ157" s="1686">
        <v>0</v>
      </c>
      <c r="CK157" s="1686">
        <v>0</v>
      </c>
      <c r="CL157" s="1686">
        <v>0</v>
      </c>
      <c r="CM157" s="1686">
        <v>0</v>
      </c>
      <c r="CN157" s="1686">
        <v>0</v>
      </c>
      <c r="CO157" s="1686">
        <v>0</v>
      </c>
      <c r="CP157" s="1687">
        <v>0</v>
      </c>
    </row>
    <row r="158" spans="2:94" ht="28" x14ac:dyDescent="0.3">
      <c r="B158" s="1741"/>
      <c r="C158" s="1678" t="s">
        <v>2204</v>
      </c>
      <c r="D158" s="1260" t="s">
        <v>2212</v>
      </c>
      <c r="E158" s="1260" t="str">
        <v>Computers and Data Logging (4)</v>
      </c>
      <c r="F158" s="1264"/>
      <c r="G158" s="1264">
        <v>4</v>
      </c>
      <c r="H158" s="1260" t="str">
        <v>Fixed</v>
      </c>
      <c r="I158" s="1262"/>
      <c r="J158" s="1263"/>
      <c r="K158" s="1261"/>
      <c r="L158" s="1684"/>
      <c r="M158" s="1685"/>
      <c r="N158" s="1686" t="s">
        <v>2203</v>
      </c>
      <c r="O158" s="1686">
        <v>0</v>
      </c>
      <c r="P158" s="1686">
        <v>0</v>
      </c>
      <c r="Q158" s="1686">
        <v>0</v>
      </c>
      <c r="R158" s="1686">
        <v>0</v>
      </c>
      <c r="S158" s="1686">
        <v>0</v>
      </c>
      <c r="T158" s="1686">
        <v>0</v>
      </c>
      <c r="U158" s="1686">
        <v>0</v>
      </c>
      <c r="V158" s="1686">
        <v>0</v>
      </c>
      <c r="W158" s="1686">
        <v>0</v>
      </c>
      <c r="X158" s="1686">
        <v>0</v>
      </c>
      <c r="Y158" s="1686">
        <v>0</v>
      </c>
      <c r="Z158" s="1686">
        <v>0</v>
      </c>
      <c r="AA158" s="1686">
        <v>0</v>
      </c>
      <c r="AB158" s="1686">
        <v>0</v>
      </c>
      <c r="AC158" s="1686">
        <v>0</v>
      </c>
      <c r="AD158" s="1686">
        <v>0</v>
      </c>
      <c r="AE158" s="1686">
        <v>0</v>
      </c>
      <c r="AF158" s="1686">
        <v>0</v>
      </c>
      <c r="AG158" s="1686">
        <v>0</v>
      </c>
      <c r="AH158" s="1686">
        <v>0</v>
      </c>
      <c r="AI158" s="1686">
        <v>0</v>
      </c>
      <c r="AJ158" s="1686">
        <v>0</v>
      </c>
      <c r="AK158" s="1686">
        <v>0</v>
      </c>
      <c r="AL158" s="1686">
        <v>0</v>
      </c>
      <c r="AM158" s="1686">
        <v>0</v>
      </c>
      <c r="AN158" s="1686">
        <v>0</v>
      </c>
      <c r="AO158" s="1686">
        <v>0</v>
      </c>
      <c r="AP158" s="1686">
        <v>0</v>
      </c>
      <c r="AQ158" s="1686">
        <v>0</v>
      </c>
      <c r="AR158" s="1686">
        <v>0</v>
      </c>
      <c r="AS158" s="1686">
        <v>0</v>
      </c>
      <c r="AT158" s="1686">
        <v>0</v>
      </c>
      <c r="AU158" s="1686">
        <v>0</v>
      </c>
      <c r="AV158" s="1686">
        <v>0</v>
      </c>
      <c r="AW158" s="1686">
        <v>0</v>
      </c>
      <c r="AX158" s="1686">
        <v>0</v>
      </c>
      <c r="AY158" s="1686">
        <v>0</v>
      </c>
      <c r="AZ158" s="1686">
        <v>0</v>
      </c>
      <c r="BA158" s="1686">
        <v>0</v>
      </c>
      <c r="BB158" s="1686">
        <v>0</v>
      </c>
      <c r="BC158" s="1686">
        <v>0</v>
      </c>
      <c r="BD158" s="1686">
        <v>0</v>
      </c>
      <c r="BE158" s="1686">
        <v>0</v>
      </c>
      <c r="BF158" s="1686">
        <v>0</v>
      </c>
      <c r="BG158" s="1686">
        <v>0</v>
      </c>
      <c r="BH158" s="1686">
        <v>0</v>
      </c>
      <c r="BI158" s="1686">
        <v>0</v>
      </c>
      <c r="BJ158" s="1686">
        <v>0</v>
      </c>
      <c r="BK158" s="1686">
        <v>0</v>
      </c>
      <c r="BL158" s="1686">
        <v>0</v>
      </c>
      <c r="BM158" s="1686">
        <v>0</v>
      </c>
      <c r="BN158" s="1686">
        <v>0</v>
      </c>
      <c r="BO158" s="1686">
        <v>0</v>
      </c>
      <c r="BP158" s="1686">
        <v>0</v>
      </c>
      <c r="BQ158" s="1686">
        <v>0</v>
      </c>
      <c r="BR158" s="1686">
        <v>0</v>
      </c>
      <c r="BS158" s="1686">
        <v>0</v>
      </c>
      <c r="BT158" s="1686">
        <v>0</v>
      </c>
      <c r="BU158" s="1686">
        <v>0</v>
      </c>
      <c r="BV158" s="1686">
        <v>0</v>
      </c>
      <c r="BW158" s="1686">
        <v>0</v>
      </c>
      <c r="BX158" s="1686">
        <v>0</v>
      </c>
      <c r="BY158" s="1686">
        <v>0</v>
      </c>
      <c r="BZ158" s="1686">
        <v>0</v>
      </c>
      <c r="CA158" s="1686">
        <v>0</v>
      </c>
      <c r="CB158" s="1686">
        <v>0</v>
      </c>
      <c r="CC158" s="1686">
        <v>0</v>
      </c>
      <c r="CD158" s="1686">
        <v>0</v>
      </c>
      <c r="CE158" s="1686">
        <v>0</v>
      </c>
      <c r="CF158" s="1686">
        <v>0</v>
      </c>
      <c r="CG158" s="1686">
        <v>0</v>
      </c>
      <c r="CH158" s="1686">
        <v>0</v>
      </c>
      <c r="CI158" s="1686">
        <v>0</v>
      </c>
      <c r="CJ158" s="1686">
        <v>0</v>
      </c>
      <c r="CK158" s="1686">
        <v>0</v>
      </c>
      <c r="CL158" s="1686">
        <v>0</v>
      </c>
      <c r="CM158" s="1686">
        <v>0</v>
      </c>
      <c r="CN158" s="1686">
        <v>0</v>
      </c>
      <c r="CO158" s="1686">
        <v>0</v>
      </c>
      <c r="CP158" s="1687">
        <v>0</v>
      </c>
    </row>
    <row r="159" spans="2:94" ht="15" customHeight="1" x14ac:dyDescent="0.3">
      <c r="B159" s="1741"/>
      <c r="C159" s="1678" t="s">
        <v>2204</v>
      </c>
      <c r="D159" s="1260" t="s">
        <v>2213</v>
      </c>
      <c r="E159" s="1260" t="str">
        <v>Fencing (10)</v>
      </c>
      <c r="F159" s="1264"/>
      <c r="G159" s="1264">
        <v>10</v>
      </c>
      <c r="H159" s="1260" t="str">
        <v>Fixed</v>
      </c>
      <c r="I159" s="1262"/>
      <c r="J159" s="1263"/>
      <c r="K159" s="1261"/>
      <c r="L159" s="1684"/>
      <c r="M159" s="1685"/>
      <c r="N159" s="1686" t="s">
        <v>2203</v>
      </c>
      <c r="O159" s="1686">
        <v>0</v>
      </c>
      <c r="P159" s="1686">
        <v>0</v>
      </c>
      <c r="Q159" s="1686">
        <v>0</v>
      </c>
      <c r="R159" s="1686">
        <v>0</v>
      </c>
      <c r="S159" s="1686">
        <v>1.6374484390813841E-2</v>
      </c>
      <c r="T159" s="1686">
        <v>1.6374484390813841E-2</v>
      </c>
      <c r="U159" s="1686">
        <v>4.9123453172441517E-2</v>
      </c>
      <c r="V159" s="1686">
        <v>9.8246906344883034E-2</v>
      </c>
      <c r="W159" s="1686">
        <v>9.8246906344883034E-2</v>
      </c>
      <c r="X159" s="1686">
        <v>4.9123453172441517E-2</v>
      </c>
      <c r="Y159" s="1686">
        <v>0</v>
      </c>
      <c r="Z159" s="1686">
        <v>0</v>
      </c>
      <c r="AA159" s="1686">
        <v>0</v>
      </c>
      <c r="AB159" s="1686">
        <v>0</v>
      </c>
      <c r="AC159" s="1686">
        <v>0</v>
      </c>
      <c r="AD159" s="1686">
        <v>0</v>
      </c>
      <c r="AE159" s="1686">
        <v>0</v>
      </c>
      <c r="AF159" s="1686">
        <v>0</v>
      </c>
      <c r="AG159" s="1686">
        <v>0</v>
      </c>
      <c r="AH159" s="1686">
        <v>0.32748968781627674</v>
      </c>
      <c r="AI159" s="1686">
        <v>0</v>
      </c>
      <c r="AJ159" s="1686">
        <v>0</v>
      </c>
      <c r="AK159" s="1686">
        <v>0</v>
      </c>
      <c r="AL159" s="1686">
        <v>0</v>
      </c>
      <c r="AM159" s="1686">
        <v>0</v>
      </c>
      <c r="AN159" s="1686">
        <v>0</v>
      </c>
      <c r="AO159" s="1686">
        <v>0</v>
      </c>
      <c r="AP159" s="1686">
        <v>0</v>
      </c>
      <c r="AQ159" s="1686">
        <v>0</v>
      </c>
      <c r="AR159" s="1686">
        <v>0.32748968781627674</v>
      </c>
      <c r="AS159" s="1686">
        <v>0</v>
      </c>
      <c r="AT159" s="1686">
        <v>0</v>
      </c>
      <c r="AU159" s="1686">
        <v>0</v>
      </c>
      <c r="AV159" s="1686">
        <v>0</v>
      </c>
      <c r="AW159" s="1686">
        <v>0</v>
      </c>
      <c r="AX159" s="1686">
        <v>0</v>
      </c>
      <c r="AY159" s="1686">
        <v>0</v>
      </c>
      <c r="AZ159" s="1686">
        <v>0</v>
      </c>
      <c r="BA159" s="1686">
        <v>0</v>
      </c>
      <c r="BB159" s="1686">
        <v>0.32748968781627674</v>
      </c>
      <c r="BC159" s="1686">
        <v>0</v>
      </c>
      <c r="BD159" s="1686">
        <v>0</v>
      </c>
      <c r="BE159" s="1686">
        <v>0</v>
      </c>
      <c r="BF159" s="1686">
        <v>0</v>
      </c>
      <c r="BG159" s="1686">
        <v>0</v>
      </c>
      <c r="BH159" s="1686">
        <v>0</v>
      </c>
      <c r="BI159" s="1686">
        <v>0</v>
      </c>
      <c r="BJ159" s="1686">
        <v>0</v>
      </c>
      <c r="BK159" s="1686">
        <v>0</v>
      </c>
      <c r="BL159" s="1686">
        <v>0.32748968781627674</v>
      </c>
      <c r="BM159" s="1686">
        <v>0</v>
      </c>
      <c r="BN159" s="1686">
        <v>0</v>
      </c>
      <c r="BO159" s="1686">
        <v>0</v>
      </c>
      <c r="BP159" s="1686">
        <v>0</v>
      </c>
      <c r="BQ159" s="1686">
        <v>0</v>
      </c>
      <c r="BR159" s="1686">
        <v>0</v>
      </c>
      <c r="BS159" s="1686">
        <v>0</v>
      </c>
      <c r="BT159" s="1686">
        <v>0</v>
      </c>
      <c r="BU159" s="1686">
        <v>0</v>
      </c>
      <c r="BV159" s="1686">
        <v>0.32748968781627674</v>
      </c>
      <c r="BW159" s="1686">
        <v>0</v>
      </c>
      <c r="BX159" s="1686">
        <v>0</v>
      </c>
      <c r="BY159" s="1686">
        <v>0</v>
      </c>
      <c r="BZ159" s="1686">
        <v>0</v>
      </c>
      <c r="CA159" s="1686">
        <v>0</v>
      </c>
      <c r="CB159" s="1686">
        <v>0</v>
      </c>
      <c r="CC159" s="1686">
        <v>0</v>
      </c>
      <c r="CD159" s="1686">
        <v>0</v>
      </c>
      <c r="CE159" s="1686">
        <v>0</v>
      </c>
      <c r="CF159" s="1686">
        <v>0.32748968781627674</v>
      </c>
      <c r="CG159" s="1686">
        <v>0</v>
      </c>
      <c r="CH159" s="1686">
        <v>0</v>
      </c>
      <c r="CI159" s="1686">
        <v>0</v>
      </c>
      <c r="CJ159" s="1686">
        <v>0</v>
      </c>
      <c r="CK159" s="1686">
        <v>0</v>
      </c>
      <c r="CL159" s="1686">
        <v>0</v>
      </c>
      <c r="CM159" s="1686">
        <v>0</v>
      </c>
      <c r="CN159" s="1686">
        <v>0</v>
      </c>
      <c r="CO159" s="1686">
        <v>0</v>
      </c>
      <c r="CP159" s="1687">
        <v>0.32748968781627674</v>
      </c>
    </row>
    <row r="160" spans="2:94" ht="28" x14ac:dyDescent="0.3">
      <c r="B160" s="1741"/>
      <c r="C160" s="1678" t="s">
        <v>2204</v>
      </c>
      <c r="D160" s="1260" t="s">
        <v>2214</v>
      </c>
      <c r="E160" s="1260" t="str">
        <v>Domestic Meters (10)</v>
      </c>
      <c r="F160" s="1264"/>
      <c r="G160" s="1264">
        <v>10</v>
      </c>
      <c r="H160" s="1260" t="str">
        <v>Fixed</v>
      </c>
      <c r="I160" s="1262"/>
      <c r="J160" s="1263"/>
      <c r="K160" s="1261"/>
      <c r="L160" s="1684"/>
      <c r="M160" s="1685"/>
      <c r="N160" s="1686" t="s">
        <v>2203</v>
      </c>
      <c r="O160" s="1686">
        <v>0</v>
      </c>
      <c r="P160" s="1686">
        <v>0</v>
      </c>
      <c r="Q160" s="1686">
        <v>0</v>
      </c>
      <c r="R160" s="1686">
        <v>0</v>
      </c>
      <c r="S160" s="1686">
        <v>0</v>
      </c>
      <c r="T160" s="1686">
        <v>0</v>
      </c>
      <c r="U160" s="1686">
        <v>0</v>
      </c>
      <c r="V160" s="1686">
        <v>0</v>
      </c>
      <c r="W160" s="1686">
        <v>0</v>
      </c>
      <c r="X160" s="1686">
        <v>0</v>
      </c>
      <c r="Y160" s="1686">
        <v>0</v>
      </c>
      <c r="Z160" s="1686">
        <v>0</v>
      </c>
      <c r="AA160" s="1686">
        <v>0</v>
      </c>
      <c r="AB160" s="1686">
        <v>0</v>
      </c>
      <c r="AC160" s="1686">
        <v>0</v>
      </c>
      <c r="AD160" s="1686">
        <v>0</v>
      </c>
      <c r="AE160" s="1686">
        <v>0</v>
      </c>
      <c r="AF160" s="1686">
        <v>0</v>
      </c>
      <c r="AG160" s="1686">
        <v>0</v>
      </c>
      <c r="AH160" s="1686">
        <v>0</v>
      </c>
      <c r="AI160" s="1686">
        <v>0</v>
      </c>
      <c r="AJ160" s="1686">
        <v>0</v>
      </c>
      <c r="AK160" s="1686">
        <v>0</v>
      </c>
      <c r="AL160" s="1686">
        <v>0</v>
      </c>
      <c r="AM160" s="1686">
        <v>0</v>
      </c>
      <c r="AN160" s="1686">
        <v>0</v>
      </c>
      <c r="AO160" s="1686">
        <v>0</v>
      </c>
      <c r="AP160" s="1686">
        <v>0</v>
      </c>
      <c r="AQ160" s="1686">
        <v>0</v>
      </c>
      <c r="AR160" s="1686">
        <v>0</v>
      </c>
      <c r="AS160" s="1686">
        <v>0</v>
      </c>
      <c r="AT160" s="1686">
        <v>0</v>
      </c>
      <c r="AU160" s="1686">
        <v>0</v>
      </c>
      <c r="AV160" s="1686">
        <v>0</v>
      </c>
      <c r="AW160" s="1686">
        <v>0</v>
      </c>
      <c r="AX160" s="1686">
        <v>0</v>
      </c>
      <c r="AY160" s="1686">
        <v>0</v>
      </c>
      <c r="AZ160" s="1686">
        <v>0</v>
      </c>
      <c r="BA160" s="1686">
        <v>0</v>
      </c>
      <c r="BB160" s="1686">
        <v>0</v>
      </c>
      <c r="BC160" s="1686">
        <v>0</v>
      </c>
      <c r="BD160" s="1686">
        <v>0</v>
      </c>
      <c r="BE160" s="1686">
        <v>0</v>
      </c>
      <c r="BF160" s="1686">
        <v>0</v>
      </c>
      <c r="BG160" s="1686">
        <v>0</v>
      </c>
      <c r="BH160" s="1686">
        <v>0</v>
      </c>
      <c r="BI160" s="1686">
        <v>0</v>
      </c>
      <c r="BJ160" s="1686">
        <v>0</v>
      </c>
      <c r="BK160" s="1686">
        <v>0</v>
      </c>
      <c r="BL160" s="1686">
        <v>0</v>
      </c>
      <c r="BM160" s="1686">
        <v>0</v>
      </c>
      <c r="BN160" s="1686">
        <v>0</v>
      </c>
      <c r="BO160" s="1686">
        <v>0</v>
      </c>
      <c r="BP160" s="1686">
        <v>0</v>
      </c>
      <c r="BQ160" s="1686">
        <v>0</v>
      </c>
      <c r="BR160" s="1686">
        <v>0</v>
      </c>
      <c r="BS160" s="1686">
        <v>0</v>
      </c>
      <c r="BT160" s="1686">
        <v>0</v>
      </c>
      <c r="BU160" s="1686">
        <v>0</v>
      </c>
      <c r="BV160" s="1686">
        <v>0</v>
      </c>
      <c r="BW160" s="1686">
        <v>0</v>
      </c>
      <c r="BX160" s="1686">
        <v>0</v>
      </c>
      <c r="BY160" s="1686">
        <v>0</v>
      </c>
      <c r="BZ160" s="1686">
        <v>0</v>
      </c>
      <c r="CA160" s="1686">
        <v>0</v>
      </c>
      <c r="CB160" s="1686">
        <v>0</v>
      </c>
      <c r="CC160" s="1686">
        <v>0</v>
      </c>
      <c r="CD160" s="1686">
        <v>0</v>
      </c>
      <c r="CE160" s="1686">
        <v>0</v>
      </c>
      <c r="CF160" s="1686">
        <v>0</v>
      </c>
      <c r="CG160" s="1686">
        <v>0</v>
      </c>
      <c r="CH160" s="1686">
        <v>0</v>
      </c>
      <c r="CI160" s="1686">
        <v>0</v>
      </c>
      <c r="CJ160" s="1686">
        <v>0</v>
      </c>
      <c r="CK160" s="1686">
        <v>0</v>
      </c>
      <c r="CL160" s="1686">
        <v>0</v>
      </c>
      <c r="CM160" s="1686">
        <v>0</v>
      </c>
      <c r="CN160" s="1686">
        <v>0</v>
      </c>
      <c r="CO160" s="1686">
        <v>0</v>
      </c>
      <c r="CP160" s="1687">
        <v>0</v>
      </c>
    </row>
    <row r="161" spans="2:94" ht="28" x14ac:dyDescent="0.3">
      <c r="B161" s="1741"/>
      <c r="C161" s="1678" t="s">
        <v>2204</v>
      </c>
      <c r="D161" s="1260" t="s">
        <v>2215</v>
      </c>
      <c r="E161" s="1260" t="str">
        <v>Building Services (10)</v>
      </c>
      <c r="F161" s="1264"/>
      <c r="G161" s="1264">
        <v>10</v>
      </c>
      <c r="H161" s="1260" t="str">
        <v>Fixed</v>
      </c>
      <c r="I161" s="1262"/>
      <c r="J161" s="1263"/>
      <c r="K161" s="1261"/>
      <c r="L161" s="1684"/>
      <c r="M161" s="1685"/>
      <c r="N161" s="1686" t="s">
        <v>2203</v>
      </c>
      <c r="O161" s="1686">
        <v>0</v>
      </c>
      <c r="P161" s="1686">
        <v>0</v>
      </c>
      <c r="Q161" s="1686">
        <v>0</v>
      </c>
      <c r="R161" s="1686">
        <v>0</v>
      </c>
      <c r="S161" s="1686">
        <v>0</v>
      </c>
      <c r="T161" s="1686">
        <v>0</v>
      </c>
      <c r="U161" s="1686">
        <v>0</v>
      </c>
      <c r="V161" s="1686">
        <v>0</v>
      </c>
      <c r="W161" s="1686">
        <v>0</v>
      </c>
      <c r="X161" s="1686">
        <v>0</v>
      </c>
      <c r="Y161" s="1686">
        <v>0</v>
      </c>
      <c r="Z161" s="1686">
        <v>0</v>
      </c>
      <c r="AA161" s="1686">
        <v>0</v>
      </c>
      <c r="AB161" s="1686">
        <v>0</v>
      </c>
      <c r="AC161" s="1686">
        <v>0</v>
      </c>
      <c r="AD161" s="1686">
        <v>0</v>
      </c>
      <c r="AE161" s="1686">
        <v>0</v>
      </c>
      <c r="AF161" s="1686">
        <v>0</v>
      </c>
      <c r="AG161" s="1686">
        <v>0</v>
      </c>
      <c r="AH161" s="1686">
        <v>0</v>
      </c>
      <c r="AI161" s="1686">
        <v>0</v>
      </c>
      <c r="AJ161" s="1686">
        <v>0</v>
      </c>
      <c r="AK161" s="1686">
        <v>0</v>
      </c>
      <c r="AL161" s="1686">
        <v>0</v>
      </c>
      <c r="AM161" s="1686">
        <v>0</v>
      </c>
      <c r="AN161" s="1686">
        <v>0</v>
      </c>
      <c r="AO161" s="1686">
        <v>0</v>
      </c>
      <c r="AP161" s="1686">
        <v>0</v>
      </c>
      <c r="AQ161" s="1686">
        <v>0</v>
      </c>
      <c r="AR161" s="1686">
        <v>0</v>
      </c>
      <c r="AS161" s="1686">
        <v>0</v>
      </c>
      <c r="AT161" s="1686">
        <v>0</v>
      </c>
      <c r="AU161" s="1686">
        <v>0</v>
      </c>
      <c r="AV161" s="1686">
        <v>0</v>
      </c>
      <c r="AW161" s="1686">
        <v>0</v>
      </c>
      <c r="AX161" s="1686">
        <v>0</v>
      </c>
      <c r="AY161" s="1686">
        <v>0</v>
      </c>
      <c r="AZ161" s="1686">
        <v>0</v>
      </c>
      <c r="BA161" s="1686">
        <v>0</v>
      </c>
      <c r="BB161" s="1686">
        <v>0</v>
      </c>
      <c r="BC161" s="1686">
        <v>0</v>
      </c>
      <c r="BD161" s="1686">
        <v>0</v>
      </c>
      <c r="BE161" s="1686">
        <v>0</v>
      </c>
      <c r="BF161" s="1686">
        <v>0</v>
      </c>
      <c r="BG161" s="1686">
        <v>0</v>
      </c>
      <c r="BH161" s="1686">
        <v>0</v>
      </c>
      <c r="BI161" s="1686">
        <v>0</v>
      </c>
      <c r="BJ161" s="1686">
        <v>0</v>
      </c>
      <c r="BK161" s="1686">
        <v>0</v>
      </c>
      <c r="BL161" s="1686">
        <v>0</v>
      </c>
      <c r="BM161" s="1686">
        <v>0</v>
      </c>
      <c r="BN161" s="1686">
        <v>0</v>
      </c>
      <c r="BO161" s="1686">
        <v>0</v>
      </c>
      <c r="BP161" s="1686">
        <v>0</v>
      </c>
      <c r="BQ161" s="1686">
        <v>0</v>
      </c>
      <c r="BR161" s="1686">
        <v>0</v>
      </c>
      <c r="BS161" s="1686">
        <v>0</v>
      </c>
      <c r="BT161" s="1686">
        <v>0</v>
      </c>
      <c r="BU161" s="1686">
        <v>0</v>
      </c>
      <c r="BV161" s="1686">
        <v>0</v>
      </c>
      <c r="BW161" s="1686">
        <v>0</v>
      </c>
      <c r="BX161" s="1686">
        <v>0</v>
      </c>
      <c r="BY161" s="1686">
        <v>0</v>
      </c>
      <c r="BZ161" s="1686">
        <v>0</v>
      </c>
      <c r="CA161" s="1686">
        <v>0</v>
      </c>
      <c r="CB161" s="1686">
        <v>0</v>
      </c>
      <c r="CC161" s="1686">
        <v>0</v>
      </c>
      <c r="CD161" s="1686">
        <v>0</v>
      </c>
      <c r="CE161" s="1686">
        <v>0</v>
      </c>
      <c r="CF161" s="1686">
        <v>0</v>
      </c>
      <c r="CG161" s="1686">
        <v>0</v>
      </c>
      <c r="CH161" s="1686">
        <v>0</v>
      </c>
      <c r="CI161" s="1686">
        <v>0</v>
      </c>
      <c r="CJ161" s="1686">
        <v>0</v>
      </c>
      <c r="CK161" s="1686">
        <v>0</v>
      </c>
      <c r="CL161" s="1686">
        <v>0</v>
      </c>
      <c r="CM161" s="1686">
        <v>0</v>
      </c>
      <c r="CN161" s="1686">
        <v>0</v>
      </c>
      <c r="CO161" s="1686">
        <v>0</v>
      </c>
      <c r="CP161" s="1687">
        <v>0</v>
      </c>
    </row>
    <row r="162" spans="2:94" ht="15" customHeight="1" x14ac:dyDescent="0.3">
      <c r="B162" s="1741"/>
      <c r="C162" s="1678" t="s">
        <v>2204</v>
      </c>
      <c r="D162" s="1260" t="s">
        <v>2216</v>
      </c>
      <c r="E162" s="1260" t="str">
        <v>Membranes (10)</v>
      </c>
      <c r="F162" s="1264"/>
      <c r="G162" s="1264">
        <v>10</v>
      </c>
      <c r="H162" s="1260" t="str">
        <v>Fixed</v>
      </c>
      <c r="I162" s="1262"/>
      <c r="J162" s="1263"/>
      <c r="K162" s="1261"/>
      <c r="L162" s="1684"/>
      <c r="M162" s="1685"/>
      <c r="N162" s="1686" t="s">
        <v>2203</v>
      </c>
      <c r="O162" s="1686">
        <v>0</v>
      </c>
      <c r="P162" s="1686">
        <v>0</v>
      </c>
      <c r="Q162" s="1686">
        <v>0</v>
      </c>
      <c r="R162" s="1686">
        <v>0</v>
      </c>
      <c r="S162" s="1686">
        <v>0</v>
      </c>
      <c r="T162" s="1686">
        <v>0</v>
      </c>
      <c r="U162" s="1686">
        <v>0</v>
      </c>
      <c r="V162" s="1686">
        <v>0</v>
      </c>
      <c r="W162" s="1686">
        <v>0</v>
      </c>
      <c r="X162" s="1686">
        <v>0</v>
      </c>
      <c r="Y162" s="1686">
        <v>0</v>
      </c>
      <c r="Z162" s="1686">
        <v>0</v>
      </c>
      <c r="AA162" s="1686">
        <v>0</v>
      </c>
      <c r="AB162" s="1686">
        <v>0</v>
      </c>
      <c r="AC162" s="1686">
        <v>0</v>
      </c>
      <c r="AD162" s="1686">
        <v>0</v>
      </c>
      <c r="AE162" s="1686">
        <v>0</v>
      </c>
      <c r="AF162" s="1686">
        <v>0</v>
      </c>
      <c r="AG162" s="1686">
        <v>0</v>
      </c>
      <c r="AH162" s="1686">
        <v>0</v>
      </c>
      <c r="AI162" s="1686">
        <v>0</v>
      </c>
      <c r="AJ162" s="1686">
        <v>0</v>
      </c>
      <c r="AK162" s="1686">
        <v>0</v>
      </c>
      <c r="AL162" s="1686">
        <v>0</v>
      </c>
      <c r="AM162" s="1686">
        <v>0</v>
      </c>
      <c r="AN162" s="1686">
        <v>0</v>
      </c>
      <c r="AO162" s="1686">
        <v>0</v>
      </c>
      <c r="AP162" s="1686">
        <v>0</v>
      </c>
      <c r="AQ162" s="1686">
        <v>0</v>
      </c>
      <c r="AR162" s="1686">
        <v>0</v>
      </c>
      <c r="AS162" s="1686">
        <v>0</v>
      </c>
      <c r="AT162" s="1686">
        <v>0</v>
      </c>
      <c r="AU162" s="1686">
        <v>0</v>
      </c>
      <c r="AV162" s="1686">
        <v>0</v>
      </c>
      <c r="AW162" s="1686">
        <v>0</v>
      </c>
      <c r="AX162" s="1686">
        <v>0</v>
      </c>
      <c r="AY162" s="1686">
        <v>0</v>
      </c>
      <c r="AZ162" s="1686">
        <v>0</v>
      </c>
      <c r="BA162" s="1686">
        <v>0</v>
      </c>
      <c r="BB162" s="1686">
        <v>0</v>
      </c>
      <c r="BC162" s="1686">
        <v>0</v>
      </c>
      <c r="BD162" s="1686">
        <v>0</v>
      </c>
      <c r="BE162" s="1686">
        <v>0</v>
      </c>
      <c r="BF162" s="1686">
        <v>0</v>
      </c>
      <c r="BG162" s="1686">
        <v>0</v>
      </c>
      <c r="BH162" s="1686">
        <v>0</v>
      </c>
      <c r="BI162" s="1686">
        <v>0</v>
      </c>
      <c r="BJ162" s="1686">
        <v>0</v>
      </c>
      <c r="BK162" s="1686">
        <v>0</v>
      </c>
      <c r="BL162" s="1686">
        <v>0</v>
      </c>
      <c r="BM162" s="1686">
        <v>0</v>
      </c>
      <c r="BN162" s="1686">
        <v>0</v>
      </c>
      <c r="BO162" s="1686">
        <v>0</v>
      </c>
      <c r="BP162" s="1686">
        <v>0</v>
      </c>
      <c r="BQ162" s="1686">
        <v>0</v>
      </c>
      <c r="BR162" s="1686">
        <v>0</v>
      </c>
      <c r="BS162" s="1686">
        <v>0</v>
      </c>
      <c r="BT162" s="1686">
        <v>0</v>
      </c>
      <c r="BU162" s="1686">
        <v>0</v>
      </c>
      <c r="BV162" s="1686">
        <v>0</v>
      </c>
      <c r="BW162" s="1686">
        <v>0</v>
      </c>
      <c r="BX162" s="1686">
        <v>0</v>
      </c>
      <c r="BY162" s="1686">
        <v>0</v>
      </c>
      <c r="BZ162" s="1686">
        <v>0</v>
      </c>
      <c r="CA162" s="1686">
        <v>0</v>
      </c>
      <c r="CB162" s="1686">
        <v>0</v>
      </c>
      <c r="CC162" s="1686">
        <v>0</v>
      </c>
      <c r="CD162" s="1686">
        <v>0</v>
      </c>
      <c r="CE162" s="1686">
        <v>0</v>
      </c>
      <c r="CF162" s="1686">
        <v>0</v>
      </c>
      <c r="CG162" s="1686">
        <v>0</v>
      </c>
      <c r="CH162" s="1686">
        <v>0</v>
      </c>
      <c r="CI162" s="1686">
        <v>0</v>
      </c>
      <c r="CJ162" s="1686">
        <v>0</v>
      </c>
      <c r="CK162" s="1686">
        <v>0</v>
      </c>
      <c r="CL162" s="1686">
        <v>0</v>
      </c>
      <c r="CM162" s="1686">
        <v>0</v>
      </c>
      <c r="CN162" s="1686">
        <v>0</v>
      </c>
      <c r="CO162" s="1686">
        <v>0</v>
      </c>
      <c r="CP162" s="1687">
        <v>0</v>
      </c>
    </row>
    <row r="163" spans="2:94" ht="56" x14ac:dyDescent="0.3">
      <c r="B163" s="1741"/>
      <c r="C163" s="1678" t="s">
        <v>2204</v>
      </c>
      <c r="D163" s="1260" t="s">
        <v>2217</v>
      </c>
      <c r="E163" s="1260" t="str">
        <v>ICA (Instrumentation, Control &amp; Automation) (10)</v>
      </c>
      <c r="F163" s="1264"/>
      <c r="G163" s="1264">
        <v>10</v>
      </c>
      <c r="H163" s="1260" t="str">
        <v>Fixed</v>
      </c>
      <c r="I163" s="1262"/>
      <c r="J163" s="1263"/>
      <c r="K163" s="1261"/>
      <c r="L163" s="1684"/>
      <c r="M163" s="1685"/>
      <c r="N163" s="1686" t="s">
        <v>2203</v>
      </c>
      <c r="O163" s="1686">
        <v>0</v>
      </c>
      <c r="P163" s="1686">
        <v>0</v>
      </c>
      <c r="Q163" s="1686">
        <v>0</v>
      </c>
      <c r="R163" s="1686">
        <v>0</v>
      </c>
      <c r="S163" s="1686">
        <v>9.6519347967421301E-2</v>
      </c>
      <c r="T163" s="1686">
        <v>9.6519347967421301E-2</v>
      </c>
      <c r="U163" s="1686">
        <v>0.28955804390226386</v>
      </c>
      <c r="V163" s="1686">
        <v>0.57911608780452772</v>
      </c>
      <c r="W163" s="1686">
        <v>0.57911608780452772</v>
      </c>
      <c r="X163" s="1686">
        <v>0.28955804390226386</v>
      </c>
      <c r="Y163" s="1686">
        <v>0</v>
      </c>
      <c r="Z163" s="1686">
        <v>0</v>
      </c>
      <c r="AA163" s="1686">
        <v>0</v>
      </c>
      <c r="AB163" s="1686">
        <v>0</v>
      </c>
      <c r="AC163" s="1686">
        <v>0</v>
      </c>
      <c r="AD163" s="1686">
        <v>0</v>
      </c>
      <c r="AE163" s="1686">
        <v>0</v>
      </c>
      <c r="AF163" s="1686">
        <v>0</v>
      </c>
      <c r="AG163" s="1686">
        <v>0</v>
      </c>
      <c r="AH163" s="1686">
        <v>1.9303869593484257</v>
      </c>
      <c r="AI163" s="1686">
        <v>0</v>
      </c>
      <c r="AJ163" s="1686">
        <v>0</v>
      </c>
      <c r="AK163" s="1686">
        <v>0</v>
      </c>
      <c r="AL163" s="1686">
        <v>0</v>
      </c>
      <c r="AM163" s="1686">
        <v>0</v>
      </c>
      <c r="AN163" s="1686">
        <v>0</v>
      </c>
      <c r="AO163" s="1686">
        <v>0</v>
      </c>
      <c r="AP163" s="1686">
        <v>0</v>
      </c>
      <c r="AQ163" s="1686">
        <v>0</v>
      </c>
      <c r="AR163" s="1686">
        <v>1.9303869593484257</v>
      </c>
      <c r="AS163" s="1686">
        <v>0</v>
      </c>
      <c r="AT163" s="1686">
        <v>0</v>
      </c>
      <c r="AU163" s="1686">
        <v>0</v>
      </c>
      <c r="AV163" s="1686">
        <v>0</v>
      </c>
      <c r="AW163" s="1686">
        <v>0</v>
      </c>
      <c r="AX163" s="1686">
        <v>0</v>
      </c>
      <c r="AY163" s="1686">
        <v>0</v>
      </c>
      <c r="AZ163" s="1686">
        <v>0</v>
      </c>
      <c r="BA163" s="1686">
        <v>0</v>
      </c>
      <c r="BB163" s="1686">
        <v>1.9303869593484257</v>
      </c>
      <c r="BC163" s="1686">
        <v>0</v>
      </c>
      <c r="BD163" s="1686">
        <v>0</v>
      </c>
      <c r="BE163" s="1686">
        <v>0</v>
      </c>
      <c r="BF163" s="1686">
        <v>0</v>
      </c>
      <c r="BG163" s="1686">
        <v>0</v>
      </c>
      <c r="BH163" s="1686">
        <v>0</v>
      </c>
      <c r="BI163" s="1686">
        <v>0</v>
      </c>
      <c r="BJ163" s="1686">
        <v>0</v>
      </c>
      <c r="BK163" s="1686">
        <v>0</v>
      </c>
      <c r="BL163" s="1686">
        <v>1.9303869593484257</v>
      </c>
      <c r="BM163" s="1686">
        <v>0</v>
      </c>
      <c r="BN163" s="1686">
        <v>0</v>
      </c>
      <c r="BO163" s="1686">
        <v>0</v>
      </c>
      <c r="BP163" s="1686">
        <v>0</v>
      </c>
      <c r="BQ163" s="1686">
        <v>0</v>
      </c>
      <c r="BR163" s="1686">
        <v>0</v>
      </c>
      <c r="BS163" s="1686">
        <v>0</v>
      </c>
      <c r="BT163" s="1686">
        <v>0</v>
      </c>
      <c r="BU163" s="1686">
        <v>0</v>
      </c>
      <c r="BV163" s="1686">
        <v>1.9303869593484257</v>
      </c>
      <c r="BW163" s="1686">
        <v>0</v>
      </c>
      <c r="BX163" s="1686">
        <v>0</v>
      </c>
      <c r="BY163" s="1686">
        <v>0</v>
      </c>
      <c r="BZ163" s="1686">
        <v>0</v>
      </c>
      <c r="CA163" s="1686">
        <v>0</v>
      </c>
      <c r="CB163" s="1686">
        <v>0</v>
      </c>
      <c r="CC163" s="1686">
        <v>0</v>
      </c>
      <c r="CD163" s="1686">
        <v>0</v>
      </c>
      <c r="CE163" s="1686">
        <v>0</v>
      </c>
      <c r="CF163" s="1686">
        <v>1.9303869593484257</v>
      </c>
      <c r="CG163" s="1686">
        <v>0</v>
      </c>
      <c r="CH163" s="1686">
        <v>0</v>
      </c>
      <c r="CI163" s="1686">
        <v>0</v>
      </c>
      <c r="CJ163" s="1686">
        <v>0</v>
      </c>
      <c r="CK163" s="1686">
        <v>0</v>
      </c>
      <c r="CL163" s="1686">
        <v>0</v>
      </c>
      <c r="CM163" s="1686">
        <v>0</v>
      </c>
      <c r="CN163" s="1686">
        <v>0</v>
      </c>
      <c r="CO163" s="1686">
        <v>0</v>
      </c>
      <c r="CP163" s="1687">
        <v>1.9303869593484257</v>
      </c>
    </row>
    <row r="164" spans="2:94" ht="28" x14ac:dyDescent="0.3">
      <c r="B164" s="1741"/>
      <c r="C164" s="1678" t="s">
        <v>2204</v>
      </c>
      <c r="D164" s="1260" t="s">
        <v>2218</v>
      </c>
      <c r="E164" s="1260" t="str">
        <v>Plant and Machinery (15)</v>
      </c>
      <c r="F164" s="1264"/>
      <c r="G164" s="1264">
        <v>15</v>
      </c>
      <c r="H164" s="1260" t="str">
        <v>Fixed</v>
      </c>
      <c r="I164" s="1262"/>
      <c r="J164" s="1263"/>
      <c r="K164" s="1261"/>
      <c r="L164" s="1684"/>
      <c r="M164" s="1685"/>
      <c r="N164" s="1686" t="s">
        <v>2203</v>
      </c>
      <c r="O164" s="1686">
        <v>0</v>
      </c>
      <c r="P164" s="1686">
        <v>0</v>
      </c>
      <c r="Q164" s="1686">
        <v>0</v>
      </c>
      <c r="R164" s="1686">
        <v>0</v>
      </c>
      <c r="S164" s="1686">
        <v>0</v>
      </c>
      <c r="T164" s="1686">
        <v>0</v>
      </c>
      <c r="U164" s="1686">
        <v>0</v>
      </c>
      <c r="V164" s="1686">
        <v>0</v>
      </c>
      <c r="W164" s="1686">
        <v>0</v>
      </c>
      <c r="X164" s="1686">
        <v>0</v>
      </c>
      <c r="Y164" s="1686">
        <v>0</v>
      </c>
      <c r="Z164" s="1686">
        <v>0</v>
      </c>
      <c r="AA164" s="1686">
        <v>0</v>
      </c>
      <c r="AB164" s="1686">
        <v>0</v>
      </c>
      <c r="AC164" s="1686">
        <v>0</v>
      </c>
      <c r="AD164" s="1686">
        <v>0</v>
      </c>
      <c r="AE164" s="1686">
        <v>0</v>
      </c>
      <c r="AF164" s="1686">
        <v>0</v>
      </c>
      <c r="AG164" s="1686">
        <v>0</v>
      </c>
      <c r="AH164" s="1686">
        <v>0</v>
      </c>
      <c r="AI164" s="1686">
        <v>0</v>
      </c>
      <c r="AJ164" s="1686">
        <v>0</v>
      </c>
      <c r="AK164" s="1686">
        <v>0</v>
      </c>
      <c r="AL164" s="1686">
        <v>0</v>
      </c>
      <c r="AM164" s="1686">
        <v>0</v>
      </c>
      <c r="AN164" s="1686">
        <v>0</v>
      </c>
      <c r="AO164" s="1686">
        <v>0</v>
      </c>
      <c r="AP164" s="1686">
        <v>0</v>
      </c>
      <c r="AQ164" s="1686">
        <v>0</v>
      </c>
      <c r="AR164" s="1686">
        <v>0</v>
      </c>
      <c r="AS164" s="1686">
        <v>0</v>
      </c>
      <c r="AT164" s="1686">
        <v>0</v>
      </c>
      <c r="AU164" s="1686">
        <v>0</v>
      </c>
      <c r="AV164" s="1686">
        <v>0</v>
      </c>
      <c r="AW164" s="1686">
        <v>0</v>
      </c>
      <c r="AX164" s="1686">
        <v>0</v>
      </c>
      <c r="AY164" s="1686">
        <v>0</v>
      </c>
      <c r="AZ164" s="1686">
        <v>0</v>
      </c>
      <c r="BA164" s="1686">
        <v>0</v>
      </c>
      <c r="BB164" s="1686">
        <v>0</v>
      </c>
      <c r="BC164" s="1686">
        <v>0</v>
      </c>
      <c r="BD164" s="1686">
        <v>0</v>
      </c>
      <c r="BE164" s="1686">
        <v>0</v>
      </c>
      <c r="BF164" s="1686">
        <v>0</v>
      </c>
      <c r="BG164" s="1686">
        <v>0</v>
      </c>
      <c r="BH164" s="1686">
        <v>0</v>
      </c>
      <c r="BI164" s="1686">
        <v>0</v>
      </c>
      <c r="BJ164" s="1686">
        <v>0</v>
      </c>
      <c r="BK164" s="1686">
        <v>0</v>
      </c>
      <c r="BL164" s="1686">
        <v>0</v>
      </c>
      <c r="BM164" s="1686">
        <v>0</v>
      </c>
      <c r="BN164" s="1686">
        <v>0</v>
      </c>
      <c r="BO164" s="1686">
        <v>0</v>
      </c>
      <c r="BP164" s="1686">
        <v>0</v>
      </c>
      <c r="BQ164" s="1686">
        <v>0</v>
      </c>
      <c r="BR164" s="1686">
        <v>0</v>
      </c>
      <c r="BS164" s="1686">
        <v>0</v>
      </c>
      <c r="BT164" s="1686">
        <v>0</v>
      </c>
      <c r="BU164" s="1686">
        <v>0</v>
      </c>
      <c r="BV164" s="1686">
        <v>0</v>
      </c>
      <c r="BW164" s="1686">
        <v>0</v>
      </c>
      <c r="BX164" s="1686">
        <v>0</v>
      </c>
      <c r="BY164" s="1686">
        <v>0</v>
      </c>
      <c r="BZ164" s="1686">
        <v>0</v>
      </c>
      <c r="CA164" s="1686">
        <v>0</v>
      </c>
      <c r="CB164" s="1686">
        <v>0</v>
      </c>
      <c r="CC164" s="1686">
        <v>0</v>
      </c>
      <c r="CD164" s="1686">
        <v>0</v>
      </c>
      <c r="CE164" s="1686">
        <v>0</v>
      </c>
      <c r="CF164" s="1686">
        <v>0</v>
      </c>
      <c r="CG164" s="1686">
        <v>0</v>
      </c>
      <c r="CH164" s="1686">
        <v>0</v>
      </c>
      <c r="CI164" s="1686">
        <v>0</v>
      </c>
      <c r="CJ164" s="1686">
        <v>0</v>
      </c>
      <c r="CK164" s="1686">
        <v>0</v>
      </c>
      <c r="CL164" s="1686">
        <v>0</v>
      </c>
      <c r="CM164" s="1686">
        <v>0</v>
      </c>
      <c r="CN164" s="1686">
        <v>0</v>
      </c>
      <c r="CO164" s="1686">
        <v>0</v>
      </c>
      <c r="CP164" s="1687">
        <v>0</v>
      </c>
    </row>
    <row r="165" spans="2:94" ht="84" x14ac:dyDescent="0.3">
      <c r="B165" s="1741"/>
      <c r="C165" s="1678" t="s">
        <v>2204</v>
      </c>
      <c r="D165" s="1260" t="s">
        <v>2219</v>
      </c>
      <c r="E165" s="1260" t="str">
        <v>M&amp;E (Mechanical and Electrical) Works on Pumping Stations and Treatment Works (20)</v>
      </c>
      <c r="F165" s="1264"/>
      <c r="G165" s="1264">
        <v>20</v>
      </c>
      <c r="H165" s="1260" t="str">
        <v>Fixed</v>
      </c>
      <c r="I165" s="1262"/>
      <c r="J165" s="1263"/>
      <c r="K165" s="1261"/>
      <c r="L165" s="1684"/>
      <c r="M165" s="1685"/>
      <c r="N165" s="1686" t="s">
        <v>2203</v>
      </c>
      <c r="O165" s="1686">
        <v>0</v>
      </c>
      <c r="P165" s="1686">
        <v>0</v>
      </c>
      <c r="Q165" s="1686">
        <v>0</v>
      </c>
      <c r="R165" s="1686">
        <v>0</v>
      </c>
      <c r="S165" s="1686">
        <v>2.4591609550200482</v>
      </c>
      <c r="T165" s="1686">
        <v>2.4591609550200482</v>
      </c>
      <c r="U165" s="1686">
        <v>7.3774828650601432</v>
      </c>
      <c r="V165" s="1686">
        <v>14.754965730120286</v>
      </c>
      <c r="W165" s="1686">
        <v>14.754965730120286</v>
      </c>
      <c r="X165" s="1686">
        <v>7.3774828650601432</v>
      </c>
      <c r="Y165" s="1686">
        <v>0</v>
      </c>
      <c r="Z165" s="1686">
        <v>0</v>
      </c>
      <c r="AA165" s="1686">
        <v>0</v>
      </c>
      <c r="AB165" s="1686">
        <v>0</v>
      </c>
      <c r="AC165" s="1686">
        <v>0</v>
      </c>
      <c r="AD165" s="1686">
        <v>0</v>
      </c>
      <c r="AE165" s="1686">
        <v>0</v>
      </c>
      <c r="AF165" s="1686">
        <v>0</v>
      </c>
      <c r="AG165" s="1686">
        <v>0</v>
      </c>
      <c r="AH165" s="1686">
        <v>0</v>
      </c>
      <c r="AI165" s="1686">
        <v>0</v>
      </c>
      <c r="AJ165" s="1686">
        <v>0</v>
      </c>
      <c r="AK165" s="1686">
        <v>0</v>
      </c>
      <c r="AL165" s="1686">
        <v>0</v>
      </c>
      <c r="AM165" s="1686">
        <v>0</v>
      </c>
      <c r="AN165" s="1686">
        <v>0</v>
      </c>
      <c r="AO165" s="1686">
        <v>0</v>
      </c>
      <c r="AP165" s="1686">
        <v>0</v>
      </c>
      <c r="AQ165" s="1686">
        <v>0</v>
      </c>
      <c r="AR165" s="1686">
        <v>49.183219100400954</v>
      </c>
      <c r="AS165" s="1686">
        <v>0</v>
      </c>
      <c r="AT165" s="1686">
        <v>0</v>
      </c>
      <c r="AU165" s="1686">
        <v>0</v>
      </c>
      <c r="AV165" s="1686">
        <v>0</v>
      </c>
      <c r="AW165" s="1686">
        <v>0</v>
      </c>
      <c r="AX165" s="1686">
        <v>0</v>
      </c>
      <c r="AY165" s="1686">
        <v>0</v>
      </c>
      <c r="AZ165" s="1686">
        <v>0</v>
      </c>
      <c r="BA165" s="1686">
        <v>0</v>
      </c>
      <c r="BB165" s="1686">
        <v>0</v>
      </c>
      <c r="BC165" s="1686">
        <v>0</v>
      </c>
      <c r="BD165" s="1686">
        <v>0</v>
      </c>
      <c r="BE165" s="1686">
        <v>0</v>
      </c>
      <c r="BF165" s="1686">
        <v>0</v>
      </c>
      <c r="BG165" s="1686">
        <v>0</v>
      </c>
      <c r="BH165" s="1686">
        <v>0</v>
      </c>
      <c r="BI165" s="1686">
        <v>0</v>
      </c>
      <c r="BJ165" s="1686">
        <v>0</v>
      </c>
      <c r="BK165" s="1686">
        <v>0</v>
      </c>
      <c r="BL165" s="1686">
        <v>49.183219100400954</v>
      </c>
      <c r="BM165" s="1686">
        <v>0</v>
      </c>
      <c r="BN165" s="1686">
        <v>0</v>
      </c>
      <c r="BO165" s="1686">
        <v>0</v>
      </c>
      <c r="BP165" s="1686">
        <v>0</v>
      </c>
      <c r="BQ165" s="1686">
        <v>0</v>
      </c>
      <c r="BR165" s="1686">
        <v>0</v>
      </c>
      <c r="BS165" s="1686">
        <v>0</v>
      </c>
      <c r="BT165" s="1686">
        <v>0</v>
      </c>
      <c r="BU165" s="1686">
        <v>0</v>
      </c>
      <c r="BV165" s="1686">
        <v>0</v>
      </c>
      <c r="BW165" s="1686">
        <v>0</v>
      </c>
      <c r="BX165" s="1686">
        <v>0</v>
      </c>
      <c r="BY165" s="1686">
        <v>0</v>
      </c>
      <c r="BZ165" s="1686">
        <v>0</v>
      </c>
      <c r="CA165" s="1686">
        <v>0</v>
      </c>
      <c r="CB165" s="1686">
        <v>0</v>
      </c>
      <c r="CC165" s="1686">
        <v>0</v>
      </c>
      <c r="CD165" s="1686">
        <v>0</v>
      </c>
      <c r="CE165" s="1686">
        <v>0</v>
      </c>
      <c r="CF165" s="1686">
        <v>49.183219100400954</v>
      </c>
      <c r="CG165" s="1686">
        <v>0</v>
      </c>
      <c r="CH165" s="1686">
        <v>0</v>
      </c>
      <c r="CI165" s="1686">
        <v>0</v>
      </c>
      <c r="CJ165" s="1686">
        <v>0</v>
      </c>
      <c r="CK165" s="1686">
        <v>0</v>
      </c>
      <c r="CL165" s="1686">
        <v>0</v>
      </c>
      <c r="CM165" s="1686">
        <v>0</v>
      </c>
      <c r="CN165" s="1686">
        <v>0</v>
      </c>
      <c r="CO165" s="1686">
        <v>0</v>
      </c>
      <c r="CP165" s="1687">
        <v>0</v>
      </c>
    </row>
    <row r="166" spans="2:94" ht="28" x14ac:dyDescent="0.3">
      <c r="B166" s="1741"/>
      <c r="C166" s="1678" t="s">
        <v>2204</v>
      </c>
      <c r="D166" s="1260" t="s">
        <v>2220</v>
      </c>
      <c r="E166" s="1260" t="str">
        <v>Raw Water and District Meters (20)</v>
      </c>
      <c r="F166" s="1264"/>
      <c r="G166" s="1264">
        <v>20</v>
      </c>
      <c r="H166" s="1260" t="str">
        <v>Fixed</v>
      </c>
      <c r="I166" s="1262"/>
      <c r="J166" s="1263"/>
      <c r="K166" s="1261"/>
      <c r="L166" s="1684"/>
      <c r="M166" s="1685"/>
      <c r="N166" s="1686" t="s">
        <v>2203</v>
      </c>
      <c r="O166" s="1686">
        <v>0</v>
      </c>
      <c r="P166" s="1686">
        <v>0</v>
      </c>
      <c r="Q166" s="1686">
        <v>0</v>
      </c>
      <c r="R166" s="1686">
        <v>0</v>
      </c>
      <c r="S166" s="1686">
        <v>0</v>
      </c>
      <c r="T166" s="1686">
        <v>0</v>
      </c>
      <c r="U166" s="1686">
        <v>0</v>
      </c>
      <c r="V166" s="1686">
        <v>0</v>
      </c>
      <c r="W166" s="1686">
        <v>0</v>
      </c>
      <c r="X166" s="1686">
        <v>0</v>
      </c>
      <c r="Y166" s="1686">
        <v>0</v>
      </c>
      <c r="Z166" s="1686">
        <v>0</v>
      </c>
      <c r="AA166" s="1686">
        <v>0</v>
      </c>
      <c r="AB166" s="1686">
        <v>0</v>
      </c>
      <c r="AC166" s="1686">
        <v>0</v>
      </c>
      <c r="AD166" s="1686">
        <v>0</v>
      </c>
      <c r="AE166" s="1686">
        <v>0</v>
      </c>
      <c r="AF166" s="1686">
        <v>0</v>
      </c>
      <c r="AG166" s="1686">
        <v>0</v>
      </c>
      <c r="AH166" s="1686">
        <v>0</v>
      </c>
      <c r="AI166" s="1686">
        <v>0</v>
      </c>
      <c r="AJ166" s="1686">
        <v>0</v>
      </c>
      <c r="AK166" s="1686">
        <v>0</v>
      </c>
      <c r="AL166" s="1686">
        <v>0</v>
      </c>
      <c r="AM166" s="1686">
        <v>0</v>
      </c>
      <c r="AN166" s="1686">
        <v>0</v>
      </c>
      <c r="AO166" s="1686">
        <v>0</v>
      </c>
      <c r="AP166" s="1686">
        <v>0</v>
      </c>
      <c r="AQ166" s="1686">
        <v>0</v>
      </c>
      <c r="AR166" s="1686">
        <v>0</v>
      </c>
      <c r="AS166" s="1686">
        <v>0</v>
      </c>
      <c r="AT166" s="1686">
        <v>0</v>
      </c>
      <c r="AU166" s="1686">
        <v>0</v>
      </c>
      <c r="AV166" s="1686">
        <v>0</v>
      </c>
      <c r="AW166" s="1686">
        <v>0</v>
      </c>
      <c r="AX166" s="1686">
        <v>0</v>
      </c>
      <c r="AY166" s="1686">
        <v>0</v>
      </c>
      <c r="AZ166" s="1686">
        <v>0</v>
      </c>
      <c r="BA166" s="1686">
        <v>0</v>
      </c>
      <c r="BB166" s="1686">
        <v>0</v>
      </c>
      <c r="BC166" s="1686">
        <v>0</v>
      </c>
      <c r="BD166" s="1686">
        <v>0</v>
      </c>
      <c r="BE166" s="1686">
        <v>0</v>
      </c>
      <c r="BF166" s="1686">
        <v>0</v>
      </c>
      <c r="BG166" s="1686">
        <v>0</v>
      </c>
      <c r="BH166" s="1686">
        <v>0</v>
      </c>
      <c r="BI166" s="1686">
        <v>0</v>
      </c>
      <c r="BJ166" s="1686">
        <v>0</v>
      </c>
      <c r="BK166" s="1686">
        <v>0</v>
      </c>
      <c r="BL166" s="1686">
        <v>0</v>
      </c>
      <c r="BM166" s="1686">
        <v>0</v>
      </c>
      <c r="BN166" s="1686">
        <v>0</v>
      </c>
      <c r="BO166" s="1686">
        <v>0</v>
      </c>
      <c r="BP166" s="1686">
        <v>0</v>
      </c>
      <c r="BQ166" s="1686">
        <v>0</v>
      </c>
      <c r="BR166" s="1686">
        <v>0</v>
      </c>
      <c r="BS166" s="1686">
        <v>0</v>
      </c>
      <c r="BT166" s="1686">
        <v>0</v>
      </c>
      <c r="BU166" s="1686">
        <v>0</v>
      </c>
      <c r="BV166" s="1686">
        <v>0</v>
      </c>
      <c r="BW166" s="1686">
        <v>0</v>
      </c>
      <c r="BX166" s="1686">
        <v>0</v>
      </c>
      <c r="BY166" s="1686">
        <v>0</v>
      </c>
      <c r="BZ166" s="1686">
        <v>0</v>
      </c>
      <c r="CA166" s="1686">
        <v>0</v>
      </c>
      <c r="CB166" s="1686">
        <v>0</v>
      </c>
      <c r="CC166" s="1686">
        <v>0</v>
      </c>
      <c r="CD166" s="1686">
        <v>0</v>
      </c>
      <c r="CE166" s="1686">
        <v>0</v>
      </c>
      <c r="CF166" s="1686">
        <v>0</v>
      </c>
      <c r="CG166" s="1686">
        <v>0</v>
      </c>
      <c r="CH166" s="1686">
        <v>0</v>
      </c>
      <c r="CI166" s="1686">
        <v>0</v>
      </c>
      <c r="CJ166" s="1686">
        <v>0</v>
      </c>
      <c r="CK166" s="1686">
        <v>0</v>
      </c>
      <c r="CL166" s="1686">
        <v>0</v>
      </c>
      <c r="CM166" s="1686">
        <v>0</v>
      </c>
      <c r="CN166" s="1686">
        <v>0</v>
      </c>
      <c r="CO166" s="1686">
        <v>0</v>
      </c>
      <c r="CP166" s="1687">
        <v>0</v>
      </c>
    </row>
    <row r="167" spans="2:94" ht="15" customHeight="1" x14ac:dyDescent="0.3">
      <c r="B167" s="1741"/>
      <c r="C167" s="1678" t="s">
        <v>2204</v>
      </c>
      <c r="D167" s="1260" t="s">
        <v>2221</v>
      </c>
      <c r="E167" s="1260" t="str">
        <v>Power Supply (25)</v>
      </c>
      <c r="F167" s="1264"/>
      <c r="G167" s="1264">
        <v>25</v>
      </c>
      <c r="H167" s="1260" t="str">
        <v>Fixed</v>
      </c>
      <c r="I167" s="1262"/>
      <c r="J167" s="1263"/>
      <c r="K167" s="1261"/>
      <c r="L167" s="1684"/>
      <c r="M167" s="1685"/>
      <c r="N167" s="1686" t="s">
        <v>2203</v>
      </c>
      <c r="O167" s="1686">
        <v>0</v>
      </c>
      <c r="P167" s="1686">
        <v>0</v>
      </c>
      <c r="Q167" s="1686">
        <v>0</v>
      </c>
      <c r="R167" s="1686">
        <v>0</v>
      </c>
      <c r="S167" s="1686">
        <v>2.0057438585979792</v>
      </c>
      <c r="T167" s="1686">
        <v>2.0057438585979792</v>
      </c>
      <c r="U167" s="1686">
        <v>6.0172315757939376</v>
      </c>
      <c r="V167" s="1686">
        <v>12.034463151587875</v>
      </c>
      <c r="W167" s="1686">
        <v>12.034463151587875</v>
      </c>
      <c r="X167" s="1686">
        <v>6.0172315757939376</v>
      </c>
      <c r="Y167" s="1686">
        <v>0</v>
      </c>
      <c r="Z167" s="1686">
        <v>0</v>
      </c>
      <c r="AA167" s="1686">
        <v>0</v>
      </c>
      <c r="AB167" s="1686">
        <v>0</v>
      </c>
      <c r="AC167" s="1686">
        <v>0</v>
      </c>
      <c r="AD167" s="1686">
        <v>0</v>
      </c>
      <c r="AE167" s="1686">
        <v>0</v>
      </c>
      <c r="AF167" s="1686">
        <v>0</v>
      </c>
      <c r="AG167" s="1686">
        <v>0</v>
      </c>
      <c r="AH167" s="1686">
        <v>0</v>
      </c>
      <c r="AI167" s="1686">
        <v>0</v>
      </c>
      <c r="AJ167" s="1686">
        <v>0</v>
      </c>
      <c r="AK167" s="1686">
        <v>0</v>
      </c>
      <c r="AL167" s="1686">
        <v>0</v>
      </c>
      <c r="AM167" s="1686">
        <v>0</v>
      </c>
      <c r="AN167" s="1686">
        <v>0</v>
      </c>
      <c r="AO167" s="1686">
        <v>0</v>
      </c>
      <c r="AP167" s="1686">
        <v>0</v>
      </c>
      <c r="AQ167" s="1686">
        <v>0</v>
      </c>
      <c r="AR167" s="1686">
        <v>0</v>
      </c>
      <c r="AS167" s="1686">
        <v>0</v>
      </c>
      <c r="AT167" s="1686">
        <v>0</v>
      </c>
      <c r="AU167" s="1686">
        <v>0</v>
      </c>
      <c r="AV167" s="1686">
        <v>0</v>
      </c>
      <c r="AW167" s="1686">
        <v>40.114877171959584</v>
      </c>
      <c r="AX167" s="1686">
        <v>0</v>
      </c>
      <c r="AY167" s="1686">
        <v>0</v>
      </c>
      <c r="AZ167" s="1686">
        <v>0</v>
      </c>
      <c r="BA167" s="1686">
        <v>0</v>
      </c>
      <c r="BB167" s="1686">
        <v>0</v>
      </c>
      <c r="BC167" s="1686">
        <v>0</v>
      </c>
      <c r="BD167" s="1686">
        <v>0</v>
      </c>
      <c r="BE167" s="1686">
        <v>0</v>
      </c>
      <c r="BF167" s="1686">
        <v>0</v>
      </c>
      <c r="BG167" s="1686">
        <v>0</v>
      </c>
      <c r="BH167" s="1686">
        <v>0</v>
      </c>
      <c r="BI167" s="1686">
        <v>0</v>
      </c>
      <c r="BJ167" s="1686">
        <v>0</v>
      </c>
      <c r="BK167" s="1686">
        <v>0</v>
      </c>
      <c r="BL167" s="1686">
        <v>0</v>
      </c>
      <c r="BM167" s="1686">
        <v>0</v>
      </c>
      <c r="BN167" s="1686">
        <v>0</v>
      </c>
      <c r="BO167" s="1686">
        <v>0</v>
      </c>
      <c r="BP167" s="1686">
        <v>0</v>
      </c>
      <c r="BQ167" s="1686">
        <v>0</v>
      </c>
      <c r="BR167" s="1686">
        <v>0</v>
      </c>
      <c r="BS167" s="1686">
        <v>0</v>
      </c>
      <c r="BT167" s="1686">
        <v>0</v>
      </c>
      <c r="BU167" s="1686">
        <v>0</v>
      </c>
      <c r="BV167" s="1686">
        <v>40.114877171959584</v>
      </c>
      <c r="BW167" s="1686">
        <v>0</v>
      </c>
      <c r="BX167" s="1686">
        <v>0</v>
      </c>
      <c r="BY167" s="1686">
        <v>0</v>
      </c>
      <c r="BZ167" s="1686">
        <v>0</v>
      </c>
      <c r="CA167" s="1686">
        <v>0</v>
      </c>
      <c r="CB167" s="1686">
        <v>0</v>
      </c>
      <c r="CC167" s="1686">
        <v>0</v>
      </c>
      <c r="CD167" s="1686">
        <v>0</v>
      </c>
      <c r="CE167" s="1686">
        <v>0</v>
      </c>
      <c r="CF167" s="1686">
        <v>0</v>
      </c>
      <c r="CG167" s="1686">
        <v>0</v>
      </c>
      <c r="CH167" s="1686">
        <v>0</v>
      </c>
      <c r="CI167" s="1686">
        <v>0</v>
      </c>
      <c r="CJ167" s="1686">
        <v>0</v>
      </c>
      <c r="CK167" s="1686">
        <v>0</v>
      </c>
      <c r="CL167" s="1686">
        <v>0</v>
      </c>
      <c r="CM167" s="1686">
        <v>0</v>
      </c>
      <c r="CN167" s="1686">
        <v>0</v>
      </c>
      <c r="CO167" s="1686">
        <v>0</v>
      </c>
      <c r="CP167" s="1687">
        <v>0</v>
      </c>
    </row>
    <row r="168" spans="2:94" ht="28" x14ac:dyDescent="0.3">
      <c r="B168" s="1741"/>
      <c r="C168" s="1678" t="s">
        <v>2204</v>
      </c>
      <c r="D168" s="1260" t="s">
        <v>2222</v>
      </c>
      <c r="E168" s="1260" t="str">
        <v>Steel/Timber/GRP Structures (30)</v>
      </c>
      <c r="F168" s="1264"/>
      <c r="G168" s="1264">
        <v>30</v>
      </c>
      <c r="H168" s="1260" t="str">
        <v>Fixed</v>
      </c>
      <c r="I168" s="1262"/>
      <c r="J168" s="1263"/>
      <c r="K168" s="1261"/>
      <c r="L168" s="1684"/>
      <c r="M168" s="1685"/>
      <c r="N168" s="1686" t="s">
        <v>2203</v>
      </c>
      <c r="O168" s="1686">
        <v>0</v>
      </c>
      <c r="P168" s="1686">
        <v>0</v>
      </c>
      <c r="Q168" s="1686">
        <v>0</v>
      </c>
      <c r="R168" s="1686">
        <v>0</v>
      </c>
      <c r="S168" s="1686">
        <v>0</v>
      </c>
      <c r="T168" s="1686">
        <v>0</v>
      </c>
      <c r="U168" s="1686">
        <v>0</v>
      </c>
      <c r="V168" s="1686">
        <v>0</v>
      </c>
      <c r="W168" s="1686">
        <v>0</v>
      </c>
      <c r="X168" s="1686">
        <v>0</v>
      </c>
      <c r="Y168" s="1686">
        <v>0</v>
      </c>
      <c r="Z168" s="1686">
        <v>0</v>
      </c>
      <c r="AA168" s="1686">
        <v>0</v>
      </c>
      <c r="AB168" s="1686">
        <v>0</v>
      </c>
      <c r="AC168" s="1686">
        <v>0</v>
      </c>
      <c r="AD168" s="1686">
        <v>0</v>
      </c>
      <c r="AE168" s="1686">
        <v>0</v>
      </c>
      <c r="AF168" s="1686">
        <v>0</v>
      </c>
      <c r="AG168" s="1686">
        <v>0</v>
      </c>
      <c r="AH168" s="1686">
        <v>0</v>
      </c>
      <c r="AI168" s="1686">
        <v>0</v>
      </c>
      <c r="AJ168" s="1686">
        <v>0</v>
      </c>
      <c r="AK168" s="1686">
        <v>0</v>
      </c>
      <c r="AL168" s="1686">
        <v>0</v>
      </c>
      <c r="AM168" s="1686">
        <v>0</v>
      </c>
      <c r="AN168" s="1686">
        <v>0</v>
      </c>
      <c r="AO168" s="1686">
        <v>0</v>
      </c>
      <c r="AP168" s="1686">
        <v>0</v>
      </c>
      <c r="AQ168" s="1686">
        <v>0</v>
      </c>
      <c r="AR168" s="1686">
        <v>0</v>
      </c>
      <c r="AS168" s="1686">
        <v>0</v>
      </c>
      <c r="AT168" s="1686">
        <v>0</v>
      </c>
      <c r="AU168" s="1686">
        <v>0</v>
      </c>
      <c r="AV168" s="1686">
        <v>0</v>
      </c>
      <c r="AW168" s="1686">
        <v>0</v>
      </c>
      <c r="AX168" s="1686">
        <v>0</v>
      </c>
      <c r="AY168" s="1686">
        <v>0</v>
      </c>
      <c r="AZ168" s="1686">
        <v>0</v>
      </c>
      <c r="BA168" s="1686">
        <v>0</v>
      </c>
      <c r="BB168" s="1686">
        <v>0</v>
      </c>
      <c r="BC168" s="1686">
        <v>0</v>
      </c>
      <c r="BD168" s="1686">
        <v>0</v>
      </c>
      <c r="BE168" s="1686">
        <v>0</v>
      </c>
      <c r="BF168" s="1686">
        <v>0</v>
      </c>
      <c r="BG168" s="1686">
        <v>0</v>
      </c>
      <c r="BH168" s="1686">
        <v>0</v>
      </c>
      <c r="BI168" s="1686">
        <v>0</v>
      </c>
      <c r="BJ168" s="1686">
        <v>0</v>
      </c>
      <c r="BK168" s="1686">
        <v>0</v>
      </c>
      <c r="BL168" s="1686">
        <v>0</v>
      </c>
      <c r="BM168" s="1686">
        <v>0</v>
      </c>
      <c r="BN168" s="1686">
        <v>0</v>
      </c>
      <c r="BO168" s="1686">
        <v>0</v>
      </c>
      <c r="BP168" s="1686">
        <v>0</v>
      </c>
      <c r="BQ168" s="1686">
        <v>0</v>
      </c>
      <c r="BR168" s="1686">
        <v>0</v>
      </c>
      <c r="BS168" s="1686">
        <v>0</v>
      </c>
      <c r="BT168" s="1686">
        <v>0</v>
      </c>
      <c r="BU168" s="1686">
        <v>0</v>
      </c>
      <c r="BV168" s="1686">
        <v>0</v>
      </c>
      <c r="BW168" s="1686">
        <v>0</v>
      </c>
      <c r="BX168" s="1686">
        <v>0</v>
      </c>
      <c r="BY168" s="1686">
        <v>0</v>
      </c>
      <c r="BZ168" s="1686">
        <v>0</v>
      </c>
      <c r="CA168" s="1686">
        <v>0</v>
      </c>
      <c r="CB168" s="1686">
        <v>0</v>
      </c>
      <c r="CC168" s="1686">
        <v>0</v>
      </c>
      <c r="CD168" s="1686">
        <v>0</v>
      </c>
      <c r="CE168" s="1686">
        <v>0</v>
      </c>
      <c r="CF168" s="1686">
        <v>0</v>
      </c>
      <c r="CG168" s="1686">
        <v>0</v>
      </c>
      <c r="CH168" s="1686">
        <v>0</v>
      </c>
      <c r="CI168" s="1686">
        <v>0</v>
      </c>
      <c r="CJ168" s="1686">
        <v>0</v>
      </c>
      <c r="CK168" s="1686">
        <v>0</v>
      </c>
      <c r="CL168" s="1686">
        <v>0</v>
      </c>
      <c r="CM168" s="1686">
        <v>0</v>
      </c>
      <c r="CN168" s="1686">
        <v>0</v>
      </c>
      <c r="CO168" s="1686">
        <v>0</v>
      </c>
      <c r="CP168" s="1687">
        <v>0</v>
      </c>
    </row>
    <row r="169" spans="2:94" ht="28" x14ac:dyDescent="0.3">
      <c r="B169" s="1741"/>
      <c r="C169" s="1678" t="s">
        <v>2204</v>
      </c>
      <c r="D169" s="1260" t="s">
        <v>2223</v>
      </c>
      <c r="E169" s="1260" t="str">
        <v>Landscaping/Environmental Works (30)</v>
      </c>
      <c r="F169" s="1264"/>
      <c r="G169" s="1264">
        <v>30</v>
      </c>
      <c r="H169" s="1260" t="str">
        <v>Fixed</v>
      </c>
      <c r="I169" s="1262"/>
      <c r="J169" s="1263"/>
      <c r="K169" s="1261"/>
      <c r="L169" s="1684"/>
      <c r="M169" s="1685"/>
      <c r="N169" s="1686" t="s">
        <v>2203</v>
      </c>
      <c r="O169" s="1686">
        <v>0</v>
      </c>
      <c r="P169" s="1686">
        <v>0</v>
      </c>
      <c r="Q169" s="1686">
        <v>0</v>
      </c>
      <c r="R169" s="1686">
        <v>0</v>
      </c>
      <c r="S169" s="1686">
        <v>0.74279245113172643</v>
      </c>
      <c r="T169" s="1686">
        <v>0.74279245113172643</v>
      </c>
      <c r="U169" s="1686">
        <v>2.228377353395179</v>
      </c>
      <c r="V169" s="1686">
        <v>4.4567547067903579</v>
      </c>
      <c r="W169" s="1686">
        <v>4.4567547067903579</v>
      </c>
      <c r="X169" s="1686">
        <v>2.228377353395179</v>
      </c>
      <c r="Y169" s="1686">
        <v>0</v>
      </c>
      <c r="Z169" s="1686">
        <v>0</v>
      </c>
      <c r="AA169" s="1686">
        <v>0</v>
      </c>
      <c r="AB169" s="1686">
        <v>0</v>
      </c>
      <c r="AC169" s="1686">
        <v>0</v>
      </c>
      <c r="AD169" s="1686">
        <v>0</v>
      </c>
      <c r="AE169" s="1686">
        <v>0</v>
      </c>
      <c r="AF169" s="1686">
        <v>0</v>
      </c>
      <c r="AG169" s="1686">
        <v>0</v>
      </c>
      <c r="AH169" s="1686">
        <v>0</v>
      </c>
      <c r="AI169" s="1686">
        <v>0</v>
      </c>
      <c r="AJ169" s="1686">
        <v>0</v>
      </c>
      <c r="AK169" s="1686">
        <v>0</v>
      </c>
      <c r="AL169" s="1686">
        <v>0</v>
      </c>
      <c r="AM169" s="1686">
        <v>0</v>
      </c>
      <c r="AN169" s="1686">
        <v>0</v>
      </c>
      <c r="AO169" s="1686">
        <v>0</v>
      </c>
      <c r="AP169" s="1686">
        <v>0</v>
      </c>
      <c r="AQ169" s="1686">
        <v>0</v>
      </c>
      <c r="AR169" s="1686">
        <v>0</v>
      </c>
      <c r="AS169" s="1686">
        <v>0</v>
      </c>
      <c r="AT169" s="1686">
        <v>0</v>
      </c>
      <c r="AU169" s="1686">
        <v>0</v>
      </c>
      <c r="AV169" s="1686">
        <v>0</v>
      </c>
      <c r="AW169" s="1686">
        <v>0</v>
      </c>
      <c r="AX169" s="1686">
        <v>0</v>
      </c>
      <c r="AY169" s="1686">
        <v>0</v>
      </c>
      <c r="AZ169" s="1686">
        <v>0</v>
      </c>
      <c r="BA169" s="1686">
        <v>0</v>
      </c>
      <c r="BB169" s="1686">
        <v>14.855849022634526</v>
      </c>
      <c r="BC169" s="1686">
        <v>0</v>
      </c>
      <c r="BD169" s="1686">
        <v>0</v>
      </c>
      <c r="BE169" s="1686">
        <v>0</v>
      </c>
      <c r="BF169" s="1686">
        <v>0</v>
      </c>
      <c r="BG169" s="1686">
        <v>0</v>
      </c>
      <c r="BH169" s="1686">
        <v>0</v>
      </c>
      <c r="BI169" s="1686">
        <v>0</v>
      </c>
      <c r="BJ169" s="1686">
        <v>0</v>
      </c>
      <c r="BK169" s="1686">
        <v>0</v>
      </c>
      <c r="BL169" s="1686">
        <v>0</v>
      </c>
      <c r="BM169" s="1686">
        <v>0</v>
      </c>
      <c r="BN169" s="1686">
        <v>0</v>
      </c>
      <c r="BO169" s="1686">
        <v>0</v>
      </c>
      <c r="BP169" s="1686">
        <v>0</v>
      </c>
      <c r="BQ169" s="1686">
        <v>0</v>
      </c>
      <c r="BR169" s="1686">
        <v>0</v>
      </c>
      <c r="BS169" s="1686">
        <v>0</v>
      </c>
      <c r="BT169" s="1686">
        <v>0</v>
      </c>
      <c r="BU169" s="1686">
        <v>0</v>
      </c>
      <c r="BV169" s="1686">
        <v>0</v>
      </c>
      <c r="BW169" s="1686">
        <v>0</v>
      </c>
      <c r="BX169" s="1686">
        <v>0</v>
      </c>
      <c r="BY169" s="1686">
        <v>0</v>
      </c>
      <c r="BZ169" s="1686">
        <v>0</v>
      </c>
      <c r="CA169" s="1686">
        <v>0</v>
      </c>
      <c r="CB169" s="1686">
        <v>0</v>
      </c>
      <c r="CC169" s="1686">
        <v>0</v>
      </c>
      <c r="CD169" s="1686">
        <v>0</v>
      </c>
      <c r="CE169" s="1686">
        <v>0</v>
      </c>
      <c r="CF169" s="1686">
        <v>14.855849022634526</v>
      </c>
      <c r="CG169" s="1686">
        <v>0</v>
      </c>
      <c r="CH169" s="1686">
        <v>0</v>
      </c>
      <c r="CI169" s="1686">
        <v>0</v>
      </c>
      <c r="CJ169" s="1686">
        <v>0</v>
      </c>
      <c r="CK169" s="1686">
        <v>0</v>
      </c>
      <c r="CL169" s="1686">
        <v>0</v>
      </c>
      <c r="CM169" s="1686">
        <v>0</v>
      </c>
      <c r="CN169" s="1686">
        <v>0</v>
      </c>
      <c r="CO169" s="1686">
        <v>0</v>
      </c>
      <c r="CP169" s="1687">
        <v>0</v>
      </c>
    </row>
    <row r="170" spans="2:94" ht="28" x14ac:dyDescent="0.3">
      <c r="B170" s="1741"/>
      <c r="C170" s="1678" t="s">
        <v>2204</v>
      </c>
      <c r="D170" s="1260" t="s">
        <v>2224</v>
      </c>
      <c r="E170" s="1260" t="str">
        <v>Borehole Screening and Casing (30)</v>
      </c>
      <c r="F170" s="1264"/>
      <c r="G170" s="1264">
        <v>30</v>
      </c>
      <c r="H170" s="1260" t="str">
        <v>Fixed</v>
      </c>
      <c r="I170" s="1262"/>
      <c r="J170" s="1263"/>
      <c r="K170" s="1261"/>
      <c r="L170" s="1684"/>
      <c r="M170" s="1685"/>
      <c r="N170" s="1686" t="s">
        <v>2203</v>
      </c>
      <c r="O170" s="1686">
        <v>0</v>
      </c>
      <c r="P170" s="1686">
        <v>0</v>
      </c>
      <c r="Q170" s="1686">
        <v>0</v>
      </c>
      <c r="R170" s="1686">
        <v>0</v>
      </c>
      <c r="S170" s="1686">
        <v>0</v>
      </c>
      <c r="T170" s="1686">
        <v>0</v>
      </c>
      <c r="U170" s="1686">
        <v>0</v>
      </c>
      <c r="V170" s="1686">
        <v>0</v>
      </c>
      <c r="W170" s="1686">
        <v>0</v>
      </c>
      <c r="X170" s="1686">
        <v>0</v>
      </c>
      <c r="Y170" s="1686">
        <v>0</v>
      </c>
      <c r="Z170" s="1686">
        <v>0</v>
      </c>
      <c r="AA170" s="1686">
        <v>0</v>
      </c>
      <c r="AB170" s="1686">
        <v>0</v>
      </c>
      <c r="AC170" s="1686">
        <v>0</v>
      </c>
      <c r="AD170" s="1686">
        <v>0</v>
      </c>
      <c r="AE170" s="1686">
        <v>0</v>
      </c>
      <c r="AF170" s="1686">
        <v>0</v>
      </c>
      <c r="AG170" s="1686">
        <v>0</v>
      </c>
      <c r="AH170" s="1686">
        <v>0</v>
      </c>
      <c r="AI170" s="1686">
        <v>0</v>
      </c>
      <c r="AJ170" s="1686">
        <v>0</v>
      </c>
      <c r="AK170" s="1686">
        <v>0</v>
      </c>
      <c r="AL170" s="1686">
        <v>0</v>
      </c>
      <c r="AM170" s="1686">
        <v>0</v>
      </c>
      <c r="AN170" s="1686">
        <v>0</v>
      </c>
      <c r="AO170" s="1686">
        <v>0</v>
      </c>
      <c r="AP170" s="1686">
        <v>0</v>
      </c>
      <c r="AQ170" s="1686">
        <v>0</v>
      </c>
      <c r="AR170" s="1686">
        <v>0</v>
      </c>
      <c r="AS170" s="1686">
        <v>0</v>
      </c>
      <c r="AT170" s="1686">
        <v>0</v>
      </c>
      <c r="AU170" s="1686">
        <v>0</v>
      </c>
      <c r="AV170" s="1686">
        <v>0</v>
      </c>
      <c r="AW170" s="1686">
        <v>0</v>
      </c>
      <c r="AX170" s="1686">
        <v>0</v>
      </c>
      <c r="AY170" s="1686">
        <v>0</v>
      </c>
      <c r="AZ170" s="1686">
        <v>0</v>
      </c>
      <c r="BA170" s="1686">
        <v>0</v>
      </c>
      <c r="BB170" s="1686">
        <v>0</v>
      </c>
      <c r="BC170" s="1686">
        <v>0</v>
      </c>
      <c r="BD170" s="1686">
        <v>0</v>
      </c>
      <c r="BE170" s="1686">
        <v>0</v>
      </c>
      <c r="BF170" s="1686">
        <v>0</v>
      </c>
      <c r="BG170" s="1686">
        <v>0</v>
      </c>
      <c r="BH170" s="1686">
        <v>0</v>
      </c>
      <c r="BI170" s="1686">
        <v>0</v>
      </c>
      <c r="BJ170" s="1686">
        <v>0</v>
      </c>
      <c r="BK170" s="1686">
        <v>0</v>
      </c>
      <c r="BL170" s="1686">
        <v>0</v>
      </c>
      <c r="BM170" s="1686">
        <v>0</v>
      </c>
      <c r="BN170" s="1686">
        <v>0</v>
      </c>
      <c r="BO170" s="1686">
        <v>0</v>
      </c>
      <c r="BP170" s="1686">
        <v>0</v>
      </c>
      <c r="BQ170" s="1686">
        <v>0</v>
      </c>
      <c r="BR170" s="1686">
        <v>0</v>
      </c>
      <c r="BS170" s="1686">
        <v>0</v>
      </c>
      <c r="BT170" s="1686">
        <v>0</v>
      </c>
      <c r="BU170" s="1686">
        <v>0</v>
      </c>
      <c r="BV170" s="1686">
        <v>0</v>
      </c>
      <c r="BW170" s="1686">
        <v>0</v>
      </c>
      <c r="BX170" s="1686">
        <v>0</v>
      </c>
      <c r="BY170" s="1686">
        <v>0</v>
      </c>
      <c r="BZ170" s="1686">
        <v>0</v>
      </c>
      <c r="CA170" s="1686">
        <v>0</v>
      </c>
      <c r="CB170" s="1686">
        <v>0</v>
      </c>
      <c r="CC170" s="1686">
        <v>0</v>
      </c>
      <c r="CD170" s="1686">
        <v>0</v>
      </c>
      <c r="CE170" s="1686">
        <v>0</v>
      </c>
      <c r="CF170" s="1686">
        <v>0</v>
      </c>
      <c r="CG170" s="1686">
        <v>0</v>
      </c>
      <c r="CH170" s="1686">
        <v>0</v>
      </c>
      <c r="CI170" s="1686">
        <v>0</v>
      </c>
      <c r="CJ170" s="1686">
        <v>0</v>
      </c>
      <c r="CK170" s="1686">
        <v>0</v>
      </c>
      <c r="CL170" s="1686">
        <v>0</v>
      </c>
      <c r="CM170" s="1686">
        <v>0</v>
      </c>
      <c r="CN170" s="1686">
        <v>0</v>
      </c>
      <c r="CO170" s="1686">
        <v>0</v>
      </c>
      <c r="CP170" s="1687">
        <v>0</v>
      </c>
    </row>
    <row r="171" spans="2:94" ht="15" customHeight="1" x14ac:dyDescent="0.3">
      <c r="B171" s="1741"/>
      <c r="C171" s="1678" t="s">
        <v>2204</v>
      </c>
      <c r="D171" s="1260" t="s">
        <v>2225</v>
      </c>
      <c r="E171" s="1260" t="str">
        <v>Bridges (40)</v>
      </c>
      <c r="F171" s="1264"/>
      <c r="G171" s="1264">
        <v>40</v>
      </c>
      <c r="H171" s="1260" t="str">
        <v>Fixed</v>
      </c>
      <c r="I171" s="1262"/>
      <c r="J171" s="1263"/>
      <c r="K171" s="1261"/>
      <c r="L171" s="1684"/>
      <c r="M171" s="1685"/>
      <c r="N171" s="1686" t="s">
        <v>2203</v>
      </c>
      <c r="O171" s="1686">
        <v>0</v>
      </c>
      <c r="P171" s="1686">
        <v>0</v>
      </c>
      <c r="Q171" s="1686">
        <v>0</v>
      </c>
      <c r="R171" s="1686">
        <v>0</v>
      </c>
      <c r="S171" s="1686">
        <v>0.14144788842624081</v>
      </c>
      <c r="T171" s="1686">
        <v>0.14144788842624081</v>
      </c>
      <c r="U171" s="1686">
        <v>0.42434366527872242</v>
      </c>
      <c r="V171" s="1686">
        <v>0.84868733055744483</v>
      </c>
      <c r="W171" s="1686">
        <v>0.84868733055744483</v>
      </c>
      <c r="X171" s="1686">
        <v>0.42434366527872242</v>
      </c>
      <c r="Y171" s="1686">
        <v>0</v>
      </c>
      <c r="Z171" s="1686">
        <v>0</v>
      </c>
      <c r="AA171" s="1686">
        <v>0</v>
      </c>
      <c r="AB171" s="1686">
        <v>0</v>
      </c>
      <c r="AC171" s="1686">
        <v>0</v>
      </c>
      <c r="AD171" s="1686">
        <v>0</v>
      </c>
      <c r="AE171" s="1686">
        <v>0</v>
      </c>
      <c r="AF171" s="1686">
        <v>0</v>
      </c>
      <c r="AG171" s="1686">
        <v>0</v>
      </c>
      <c r="AH171" s="1686">
        <v>0</v>
      </c>
      <c r="AI171" s="1686">
        <v>0</v>
      </c>
      <c r="AJ171" s="1686">
        <v>0</v>
      </c>
      <c r="AK171" s="1686">
        <v>0</v>
      </c>
      <c r="AL171" s="1686">
        <v>0</v>
      </c>
      <c r="AM171" s="1686">
        <v>0</v>
      </c>
      <c r="AN171" s="1686">
        <v>0</v>
      </c>
      <c r="AO171" s="1686">
        <v>0</v>
      </c>
      <c r="AP171" s="1686">
        <v>0</v>
      </c>
      <c r="AQ171" s="1686">
        <v>0</v>
      </c>
      <c r="AR171" s="1686">
        <v>0</v>
      </c>
      <c r="AS171" s="1686">
        <v>0</v>
      </c>
      <c r="AT171" s="1686">
        <v>0</v>
      </c>
      <c r="AU171" s="1686">
        <v>0</v>
      </c>
      <c r="AV171" s="1686">
        <v>0</v>
      </c>
      <c r="AW171" s="1686">
        <v>0</v>
      </c>
      <c r="AX171" s="1686">
        <v>0</v>
      </c>
      <c r="AY171" s="1686">
        <v>0</v>
      </c>
      <c r="AZ171" s="1686">
        <v>0</v>
      </c>
      <c r="BA171" s="1686">
        <v>0</v>
      </c>
      <c r="BB171" s="1686">
        <v>0</v>
      </c>
      <c r="BC171" s="1686">
        <v>0</v>
      </c>
      <c r="BD171" s="1686">
        <v>0</v>
      </c>
      <c r="BE171" s="1686">
        <v>0</v>
      </c>
      <c r="BF171" s="1686">
        <v>0</v>
      </c>
      <c r="BG171" s="1686">
        <v>0</v>
      </c>
      <c r="BH171" s="1686">
        <v>0</v>
      </c>
      <c r="BI171" s="1686">
        <v>0</v>
      </c>
      <c r="BJ171" s="1686">
        <v>0</v>
      </c>
      <c r="BK171" s="1686">
        <v>0</v>
      </c>
      <c r="BL171" s="1686">
        <v>2.8289577685248162</v>
      </c>
      <c r="BM171" s="1686">
        <v>0</v>
      </c>
      <c r="BN171" s="1686">
        <v>0</v>
      </c>
      <c r="BO171" s="1686">
        <v>0</v>
      </c>
      <c r="BP171" s="1686">
        <v>0</v>
      </c>
      <c r="BQ171" s="1686">
        <v>0</v>
      </c>
      <c r="BR171" s="1686">
        <v>0</v>
      </c>
      <c r="BS171" s="1686">
        <v>0</v>
      </c>
      <c r="BT171" s="1686">
        <v>0</v>
      </c>
      <c r="BU171" s="1686">
        <v>0</v>
      </c>
      <c r="BV171" s="1686">
        <v>0</v>
      </c>
      <c r="BW171" s="1686">
        <v>0</v>
      </c>
      <c r="BX171" s="1686">
        <v>0</v>
      </c>
      <c r="BY171" s="1686">
        <v>0</v>
      </c>
      <c r="BZ171" s="1686">
        <v>0</v>
      </c>
      <c r="CA171" s="1686">
        <v>0</v>
      </c>
      <c r="CB171" s="1686">
        <v>0</v>
      </c>
      <c r="CC171" s="1686">
        <v>0</v>
      </c>
      <c r="CD171" s="1686">
        <v>0</v>
      </c>
      <c r="CE171" s="1686">
        <v>0</v>
      </c>
      <c r="CF171" s="1686">
        <v>0</v>
      </c>
      <c r="CG171" s="1686">
        <v>0</v>
      </c>
      <c r="CH171" s="1686">
        <v>0</v>
      </c>
      <c r="CI171" s="1686">
        <v>0</v>
      </c>
      <c r="CJ171" s="1686">
        <v>0</v>
      </c>
      <c r="CK171" s="1686">
        <v>0</v>
      </c>
      <c r="CL171" s="1686">
        <v>0</v>
      </c>
      <c r="CM171" s="1686">
        <v>0</v>
      </c>
      <c r="CN171" s="1686">
        <v>0</v>
      </c>
      <c r="CO171" s="1686">
        <v>0</v>
      </c>
      <c r="CP171" s="1687">
        <v>0</v>
      </c>
    </row>
    <row r="172" spans="2:94" ht="42" x14ac:dyDescent="0.3">
      <c r="B172" s="1741"/>
      <c r="C172" s="1678" t="s">
        <v>2204</v>
      </c>
      <c r="D172" s="1260" t="s">
        <v>2226</v>
      </c>
      <c r="E172" s="1260" t="str">
        <v>Brick/Concrete Office Structures (50)</v>
      </c>
      <c r="F172" s="1264"/>
      <c r="G172" s="1264">
        <v>50</v>
      </c>
      <c r="H172" s="1260" t="str">
        <v>Fixed</v>
      </c>
      <c r="I172" s="1262"/>
      <c r="J172" s="1263"/>
      <c r="K172" s="1261"/>
      <c r="L172" s="1684"/>
      <c r="M172" s="1685"/>
      <c r="N172" s="1686" t="s">
        <v>2203</v>
      </c>
      <c r="O172" s="1686">
        <v>0</v>
      </c>
      <c r="P172" s="1686">
        <v>0</v>
      </c>
      <c r="Q172" s="1686">
        <v>0</v>
      </c>
      <c r="R172" s="1686">
        <v>0</v>
      </c>
      <c r="S172" s="1686">
        <v>1.2506668046045903</v>
      </c>
      <c r="T172" s="1686">
        <v>1.2506668046045903</v>
      </c>
      <c r="U172" s="1686">
        <v>3.7520004138137706</v>
      </c>
      <c r="V172" s="1686">
        <v>7.5040008276275412</v>
      </c>
      <c r="W172" s="1686">
        <v>7.5040008276275412</v>
      </c>
      <c r="X172" s="1686">
        <v>3.7520004138137706</v>
      </c>
      <c r="Y172" s="1686">
        <v>0</v>
      </c>
      <c r="Z172" s="1686">
        <v>0</v>
      </c>
      <c r="AA172" s="1686">
        <v>0</v>
      </c>
      <c r="AB172" s="1686">
        <v>0</v>
      </c>
      <c r="AC172" s="1686">
        <v>0</v>
      </c>
      <c r="AD172" s="1686">
        <v>0</v>
      </c>
      <c r="AE172" s="1686">
        <v>0</v>
      </c>
      <c r="AF172" s="1686">
        <v>0</v>
      </c>
      <c r="AG172" s="1686">
        <v>0</v>
      </c>
      <c r="AH172" s="1686">
        <v>0</v>
      </c>
      <c r="AI172" s="1686">
        <v>0</v>
      </c>
      <c r="AJ172" s="1686">
        <v>0</v>
      </c>
      <c r="AK172" s="1686">
        <v>0</v>
      </c>
      <c r="AL172" s="1686">
        <v>0</v>
      </c>
      <c r="AM172" s="1686">
        <v>0</v>
      </c>
      <c r="AN172" s="1686">
        <v>0</v>
      </c>
      <c r="AO172" s="1686">
        <v>0</v>
      </c>
      <c r="AP172" s="1686">
        <v>0</v>
      </c>
      <c r="AQ172" s="1686">
        <v>0</v>
      </c>
      <c r="AR172" s="1686">
        <v>0</v>
      </c>
      <c r="AS172" s="1686">
        <v>0</v>
      </c>
      <c r="AT172" s="1686">
        <v>0</v>
      </c>
      <c r="AU172" s="1686">
        <v>0</v>
      </c>
      <c r="AV172" s="1686">
        <v>0</v>
      </c>
      <c r="AW172" s="1686">
        <v>0</v>
      </c>
      <c r="AX172" s="1686">
        <v>0</v>
      </c>
      <c r="AY172" s="1686">
        <v>0</v>
      </c>
      <c r="AZ172" s="1686">
        <v>0</v>
      </c>
      <c r="BA172" s="1686">
        <v>0</v>
      </c>
      <c r="BB172" s="1686">
        <v>0</v>
      </c>
      <c r="BC172" s="1686">
        <v>0</v>
      </c>
      <c r="BD172" s="1686">
        <v>0</v>
      </c>
      <c r="BE172" s="1686">
        <v>0</v>
      </c>
      <c r="BF172" s="1686">
        <v>0</v>
      </c>
      <c r="BG172" s="1686">
        <v>0</v>
      </c>
      <c r="BH172" s="1686">
        <v>0</v>
      </c>
      <c r="BI172" s="1686">
        <v>0</v>
      </c>
      <c r="BJ172" s="1686">
        <v>0</v>
      </c>
      <c r="BK172" s="1686">
        <v>0</v>
      </c>
      <c r="BL172" s="1686">
        <v>0</v>
      </c>
      <c r="BM172" s="1686">
        <v>0</v>
      </c>
      <c r="BN172" s="1686">
        <v>0</v>
      </c>
      <c r="BO172" s="1686">
        <v>0</v>
      </c>
      <c r="BP172" s="1686">
        <v>0</v>
      </c>
      <c r="BQ172" s="1686">
        <v>0</v>
      </c>
      <c r="BR172" s="1686">
        <v>0</v>
      </c>
      <c r="BS172" s="1686">
        <v>0</v>
      </c>
      <c r="BT172" s="1686">
        <v>0</v>
      </c>
      <c r="BU172" s="1686">
        <v>0</v>
      </c>
      <c r="BV172" s="1686">
        <v>25.013336092091805</v>
      </c>
      <c r="BW172" s="1686">
        <v>0</v>
      </c>
      <c r="BX172" s="1686">
        <v>0</v>
      </c>
      <c r="BY172" s="1686">
        <v>0</v>
      </c>
      <c r="BZ172" s="1686">
        <v>0</v>
      </c>
      <c r="CA172" s="1686">
        <v>0</v>
      </c>
      <c r="CB172" s="1686">
        <v>0</v>
      </c>
      <c r="CC172" s="1686">
        <v>0</v>
      </c>
      <c r="CD172" s="1686">
        <v>0</v>
      </c>
      <c r="CE172" s="1686">
        <v>0</v>
      </c>
      <c r="CF172" s="1686">
        <v>0</v>
      </c>
      <c r="CG172" s="1686">
        <v>0</v>
      </c>
      <c r="CH172" s="1686">
        <v>0</v>
      </c>
      <c r="CI172" s="1686">
        <v>0</v>
      </c>
      <c r="CJ172" s="1686">
        <v>0</v>
      </c>
      <c r="CK172" s="1686">
        <v>0</v>
      </c>
      <c r="CL172" s="1686">
        <v>0</v>
      </c>
      <c r="CM172" s="1686">
        <v>0</v>
      </c>
      <c r="CN172" s="1686">
        <v>0</v>
      </c>
      <c r="CO172" s="1686">
        <v>0</v>
      </c>
      <c r="CP172" s="1687">
        <v>0</v>
      </c>
    </row>
    <row r="173" spans="2:94" ht="56" x14ac:dyDescent="0.3">
      <c r="B173" s="1741"/>
      <c r="C173" s="1678" t="s">
        <v>2204</v>
      </c>
      <c r="D173" s="1260" t="s">
        <v>2227</v>
      </c>
      <c r="E173" s="1260" t="str">
        <v>Treatment and Pumping Station Civils (incl. Intakes) (60)</v>
      </c>
      <c r="F173" s="1264"/>
      <c r="G173" s="1264">
        <v>60</v>
      </c>
      <c r="H173" s="1260" t="str">
        <v>Fixed</v>
      </c>
      <c r="I173" s="1262"/>
      <c r="J173" s="1263"/>
      <c r="K173" s="1261"/>
      <c r="L173" s="1684"/>
      <c r="M173" s="1685"/>
      <c r="N173" s="1686" t="s">
        <v>2203</v>
      </c>
      <c r="O173" s="1686">
        <v>0</v>
      </c>
      <c r="P173" s="1686">
        <v>0</v>
      </c>
      <c r="Q173" s="1686">
        <v>0</v>
      </c>
      <c r="R173" s="1686">
        <v>0</v>
      </c>
      <c r="S173" s="1686">
        <v>0</v>
      </c>
      <c r="T173" s="1686">
        <v>0</v>
      </c>
      <c r="U173" s="1686">
        <v>0</v>
      </c>
      <c r="V173" s="1686">
        <v>0</v>
      </c>
      <c r="W173" s="1686">
        <v>0</v>
      </c>
      <c r="X173" s="1686">
        <v>0</v>
      </c>
      <c r="Y173" s="1686">
        <v>0</v>
      </c>
      <c r="Z173" s="1686">
        <v>0</v>
      </c>
      <c r="AA173" s="1686">
        <v>0</v>
      </c>
      <c r="AB173" s="1686">
        <v>0</v>
      </c>
      <c r="AC173" s="1686">
        <v>0</v>
      </c>
      <c r="AD173" s="1686">
        <v>0</v>
      </c>
      <c r="AE173" s="1686">
        <v>0</v>
      </c>
      <c r="AF173" s="1686">
        <v>0</v>
      </c>
      <c r="AG173" s="1686">
        <v>0</v>
      </c>
      <c r="AH173" s="1686">
        <v>0</v>
      </c>
      <c r="AI173" s="1686">
        <v>0</v>
      </c>
      <c r="AJ173" s="1686">
        <v>0</v>
      </c>
      <c r="AK173" s="1686">
        <v>0</v>
      </c>
      <c r="AL173" s="1686">
        <v>0</v>
      </c>
      <c r="AM173" s="1686">
        <v>0</v>
      </c>
      <c r="AN173" s="1686">
        <v>0</v>
      </c>
      <c r="AO173" s="1686">
        <v>0</v>
      </c>
      <c r="AP173" s="1686">
        <v>0</v>
      </c>
      <c r="AQ173" s="1686">
        <v>0</v>
      </c>
      <c r="AR173" s="1686">
        <v>0</v>
      </c>
      <c r="AS173" s="1686">
        <v>0</v>
      </c>
      <c r="AT173" s="1686">
        <v>0</v>
      </c>
      <c r="AU173" s="1686">
        <v>0</v>
      </c>
      <c r="AV173" s="1686">
        <v>0</v>
      </c>
      <c r="AW173" s="1686">
        <v>0</v>
      </c>
      <c r="AX173" s="1686">
        <v>0</v>
      </c>
      <c r="AY173" s="1686">
        <v>0</v>
      </c>
      <c r="AZ173" s="1686">
        <v>0</v>
      </c>
      <c r="BA173" s="1686">
        <v>0</v>
      </c>
      <c r="BB173" s="1686">
        <v>0</v>
      </c>
      <c r="BC173" s="1686">
        <v>0</v>
      </c>
      <c r="BD173" s="1686">
        <v>0</v>
      </c>
      <c r="BE173" s="1686">
        <v>0</v>
      </c>
      <c r="BF173" s="1686">
        <v>0</v>
      </c>
      <c r="BG173" s="1686">
        <v>0</v>
      </c>
      <c r="BH173" s="1686">
        <v>0</v>
      </c>
      <c r="BI173" s="1686">
        <v>0</v>
      </c>
      <c r="BJ173" s="1686">
        <v>0</v>
      </c>
      <c r="BK173" s="1686">
        <v>0</v>
      </c>
      <c r="BL173" s="1686">
        <v>0</v>
      </c>
      <c r="BM173" s="1686">
        <v>0</v>
      </c>
      <c r="BN173" s="1686">
        <v>0</v>
      </c>
      <c r="BO173" s="1686">
        <v>0</v>
      </c>
      <c r="BP173" s="1686">
        <v>0</v>
      </c>
      <c r="BQ173" s="1686">
        <v>0</v>
      </c>
      <c r="BR173" s="1686">
        <v>0</v>
      </c>
      <c r="BS173" s="1686">
        <v>0</v>
      </c>
      <c r="BT173" s="1686">
        <v>0</v>
      </c>
      <c r="BU173" s="1686">
        <v>0</v>
      </c>
      <c r="BV173" s="1686">
        <v>0</v>
      </c>
      <c r="BW173" s="1686">
        <v>0</v>
      </c>
      <c r="BX173" s="1686">
        <v>0</v>
      </c>
      <c r="BY173" s="1686">
        <v>0</v>
      </c>
      <c r="BZ173" s="1686">
        <v>0</v>
      </c>
      <c r="CA173" s="1686">
        <v>0</v>
      </c>
      <c r="CB173" s="1686">
        <v>0</v>
      </c>
      <c r="CC173" s="1686">
        <v>0</v>
      </c>
      <c r="CD173" s="1686">
        <v>0</v>
      </c>
      <c r="CE173" s="1686">
        <v>0</v>
      </c>
      <c r="CF173" s="1686">
        <v>0</v>
      </c>
      <c r="CG173" s="1686">
        <v>0</v>
      </c>
      <c r="CH173" s="1686">
        <v>0</v>
      </c>
      <c r="CI173" s="1686">
        <v>0</v>
      </c>
      <c r="CJ173" s="1686">
        <v>0</v>
      </c>
      <c r="CK173" s="1686">
        <v>0</v>
      </c>
      <c r="CL173" s="1686">
        <v>0</v>
      </c>
      <c r="CM173" s="1686">
        <v>0</v>
      </c>
      <c r="CN173" s="1686">
        <v>0</v>
      </c>
      <c r="CO173" s="1686">
        <v>0</v>
      </c>
      <c r="CP173" s="1687">
        <v>0</v>
      </c>
    </row>
    <row r="174" spans="2:94" ht="28" x14ac:dyDescent="0.3">
      <c r="B174" s="1741"/>
      <c r="C174" s="1678" t="s">
        <v>2204</v>
      </c>
      <c r="D174" s="1260" t="s">
        <v>2228</v>
      </c>
      <c r="E174" s="1260" t="str">
        <v>Roads and Car Parks (60)</v>
      </c>
      <c r="F174" s="1264"/>
      <c r="G174" s="1264">
        <v>60</v>
      </c>
      <c r="H174" s="1260" t="str">
        <v>Fixed</v>
      </c>
      <c r="I174" s="1262"/>
      <c r="J174" s="1263"/>
      <c r="K174" s="1261"/>
      <c r="L174" s="1684"/>
      <c r="M174" s="1685"/>
      <c r="N174" s="1686" t="s">
        <v>2203</v>
      </c>
      <c r="O174" s="1686">
        <v>0</v>
      </c>
      <c r="P174" s="1686">
        <v>0</v>
      </c>
      <c r="Q174" s="1686">
        <v>0</v>
      </c>
      <c r="R174" s="1686">
        <v>0</v>
      </c>
      <c r="S174" s="1686">
        <v>2.0425202551857686</v>
      </c>
      <c r="T174" s="1686">
        <v>2.0425202551857686</v>
      </c>
      <c r="U174" s="1686">
        <v>6.1275607655573037</v>
      </c>
      <c r="V174" s="1686">
        <v>12.255121531114607</v>
      </c>
      <c r="W174" s="1686">
        <v>12.255121531114607</v>
      </c>
      <c r="X174" s="1686">
        <v>6.1275607655573037</v>
      </c>
      <c r="Y174" s="1686">
        <v>0</v>
      </c>
      <c r="Z174" s="1686">
        <v>0</v>
      </c>
      <c r="AA174" s="1686">
        <v>0</v>
      </c>
      <c r="AB174" s="1686">
        <v>0</v>
      </c>
      <c r="AC174" s="1686">
        <v>0</v>
      </c>
      <c r="AD174" s="1686">
        <v>0</v>
      </c>
      <c r="AE174" s="1686">
        <v>0</v>
      </c>
      <c r="AF174" s="1686">
        <v>0</v>
      </c>
      <c r="AG174" s="1686">
        <v>0</v>
      </c>
      <c r="AH174" s="1686">
        <v>0</v>
      </c>
      <c r="AI174" s="1686">
        <v>0</v>
      </c>
      <c r="AJ174" s="1686">
        <v>0</v>
      </c>
      <c r="AK174" s="1686">
        <v>0</v>
      </c>
      <c r="AL174" s="1686">
        <v>0</v>
      </c>
      <c r="AM174" s="1686">
        <v>0</v>
      </c>
      <c r="AN174" s="1686">
        <v>0</v>
      </c>
      <c r="AO174" s="1686">
        <v>0</v>
      </c>
      <c r="AP174" s="1686">
        <v>0</v>
      </c>
      <c r="AQ174" s="1686">
        <v>0</v>
      </c>
      <c r="AR174" s="1686">
        <v>0</v>
      </c>
      <c r="AS174" s="1686">
        <v>0</v>
      </c>
      <c r="AT174" s="1686">
        <v>0</v>
      </c>
      <c r="AU174" s="1686">
        <v>0</v>
      </c>
      <c r="AV174" s="1686">
        <v>0</v>
      </c>
      <c r="AW174" s="1686">
        <v>0</v>
      </c>
      <c r="AX174" s="1686">
        <v>0</v>
      </c>
      <c r="AY174" s="1686">
        <v>0</v>
      </c>
      <c r="AZ174" s="1686">
        <v>0</v>
      </c>
      <c r="BA174" s="1686">
        <v>0</v>
      </c>
      <c r="BB174" s="1686">
        <v>0</v>
      </c>
      <c r="BC174" s="1686">
        <v>0</v>
      </c>
      <c r="BD174" s="1686">
        <v>0</v>
      </c>
      <c r="BE174" s="1686">
        <v>0</v>
      </c>
      <c r="BF174" s="1686">
        <v>0</v>
      </c>
      <c r="BG174" s="1686">
        <v>0</v>
      </c>
      <c r="BH174" s="1686">
        <v>0</v>
      </c>
      <c r="BI174" s="1686">
        <v>0</v>
      </c>
      <c r="BJ174" s="1686">
        <v>0</v>
      </c>
      <c r="BK174" s="1686">
        <v>0</v>
      </c>
      <c r="BL174" s="1686">
        <v>0</v>
      </c>
      <c r="BM174" s="1686">
        <v>0</v>
      </c>
      <c r="BN174" s="1686">
        <v>0</v>
      </c>
      <c r="BO174" s="1686">
        <v>0</v>
      </c>
      <c r="BP174" s="1686">
        <v>0</v>
      </c>
      <c r="BQ174" s="1686">
        <v>0</v>
      </c>
      <c r="BR174" s="1686">
        <v>0</v>
      </c>
      <c r="BS174" s="1686">
        <v>0</v>
      </c>
      <c r="BT174" s="1686">
        <v>0</v>
      </c>
      <c r="BU174" s="1686">
        <v>0</v>
      </c>
      <c r="BV174" s="1686">
        <v>0</v>
      </c>
      <c r="BW174" s="1686">
        <v>0</v>
      </c>
      <c r="BX174" s="1686">
        <v>0</v>
      </c>
      <c r="BY174" s="1686">
        <v>0</v>
      </c>
      <c r="BZ174" s="1686">
        <v>0</v>
      </c>
      <c r="CA174" s="1686">
        <v>0</v>
      </c>
      <c r="CB174" s="1686">
        <v>0</v>
      </c>
      <c r="CC174" s="1686">
        <v>0</v>
      </c>
      <c r="CD174" s="1686">
        <v>0</v>
      </c>
      <c r="CE174" s="1686">
        <v>0</v>
      </c>
      <c r="CF174" s="1686">
        <v>40.85040510371536</v>
      </c>
      <c r="CG174" s="1686">
        <v>0</v>
      </c>
      <c r="CH174" s="1686">
        <v>0</v>
      </c>
      <c r="CI174" s="1686">
        <v>0</v>
      </c>
      <c r="CJ174" s="1686">
        <v>0</v>
      </c>
      <c r="CK174" s="1686">
        <v>0</v>
      </c>
      <c r="CL174" s="1686">
        <v>0</v>
      </c>
      <c r="CM174" s="1686">
        <v>0</v>
      </c>
      <c r="CN174" s="1686">
        <v>0</v>
      </c>
      <c r="CO174" s="1686">
        <v>0</v>
      </c>
      <c r="CP174" s="1687">
        <v>0</v>
      </c>
    </row>
    <row r="175" spans="2:94" ht="15" customHeight="1" x14ac:dyDescent="0.3">
      <c r="B175" s="1741"/>
      <c r="C175" s="1678" t="s">
        <v>2204</v>
      </c>
      <c r="D175" s="1260" t="s">
        <v>2229</v>
      </c>
      <c r="E175" s="1260" t="str">
        <v>Water Towers (60)</v>
      </c>
      <c r="F175" s="1264"/>
      <c r="G175" s="1264">
        <v>60</v>
      </c>
      <c r="H175" s="1260" t="str">
        <v>Fixed</v>
      </c>
      <c r="I175" s="1262"/>
      <c r="J175" s="1263"/>
      <c r="K175" s="1261"/>
      <c r="L175" s="1684"/>
      <c r="M175" s="1685"/>
      <c r="N175" s="1686" t="s">
        <v>2203</v>
      </c>
      <c r="O175" s="1686">
        <v>0</v>
      </c>
      <c r="P175" s="1686">
        <v>0</v>
      </c>
      <c r="Q175" s="1686">
        <v>0</v>
      </c>
      <c r="R175" s="1686">
        <v>0</v>
      </c>
      <c r="S175" s="1686">
        <v>9.3991117003197081E-2</v>
      </c>
      <c r="T175" s="1686">
        <v>9.3991117003197081E-2</v>
      </c>
      <c r="U175" s="1686">
        <v>0.2819733510095912</v>
      </c>
      <c r="V175" s="1686">
        <v>0.5639467020191824</v>
      </c>
      <c r="W175" s="1686">
        <v>0.5639467020191824</v>
      </c>
      <c r="X175" s="1686">
        <v>0.2819733510095912</v>
      </c>
      <c r="Y175" s="1686">
        <v>0</v>
      </c>
      <c r="Z175" s="1686">
        <v>0</v>
      </c>
      <c r="AA175" s="1686">
        <v>0</v>
      </c>
      <c r="AB175" s="1686">
        <v>0</v>
      </c>
      <c r="AC175" s="1686">
        <v>0</v>
      </c>
      <c r="AD175" s="1686">
        <v>0</v>
      </c>
      <c r="AE175" s="1686">
        <v>0</v>
      </c>
      <c r="AF175" s="1686">
        <v>0</v>
      </c>
      <c r="AG175" s="1686">
        <v>0</v>
      </c>
      <c r="AH175" s="1686">
        <v>0</v>
      </c>
      <c r="AI175" s="1686">
        <v>0</v>
      </c>
      <c r="AJ175" s="1686">
        <v>0</v>
      </c>
      <c r="AK175" s="1686">
        <v>0</v>
      </c>
      <c r="AL175" s="1686">
        <v>0</v>
      </c>
      <c r="AM175" s="1686">
        <v>0</v>
      </c>
      <c r="AN175" s="1686">
        <v>0</v>
      </c>
      <c r="AO175" s="1686">
        <v>0</v>
      </c>
      <c r="AP175" s="1686">
        <v>0</v>
      </c>
      <c r="AQ175" s="1686">
        <v>0</v>
      </c>
      <c r="AR175" s="1686">
        <v>0</v>
      </c>
      <c r="AS175" s="1686">
        <v>0</v>
      </c>
      <c r="AT175" s="1686">
        <v>0</v>
      </c>
      <c r="AU175" s="1686">
        <v>0</v>
      </c>
      <c r="AV175" s="1686">
        <v>0</v>
      </c>
      <c r="AW175" s="1686">
        <v>0</v>
      </c>
      <c r="AX175" s="1686">
        <v>0</v>
      </c>
      <c r="AY175" s="1686">
        <v>0</v>
      </c>
      <c r="AZ175" s="1686">
        <v>0</v>
      </c>
      <c r="BA175" s="1686">
        <v>0</v>
      </c>
      <c r="BB175" s="1686">
        <v>0</v>
      </c>
      <c r="BC175" s="1686">
        <v>0</v>
      </c>
      <c r="BD175" s="1686">
        <v>0</v>
      </c>
      <c r="BE175" s="1686">
        <v>0</v>
      </c>
      <c r="BF175" s="1686">
        <v>0</v>
      </c>
      <c r="BG175" s="1686">
        <v>0</v>
      </c>
      <c r="BH175" s="1686">
        <v>0</v>
      </c>
      <c r="BI175" s="1686">
        <v>0</v>
      </c>
      <c r="BJ175" s="1686">
        <v>0</v>
      </c>
      <c r="BK175" s="1686">
        <v>0</v>
      </c>
      <c r="BL175" s="1686">
        <v>0</v>
      </c>
      <c r="BM175" s="1686">
        <v>0</v>
      </c>
      <c r="BN175" s="1686">
        <v>0</v>
      </c>
      <c r="BO175" s="1686">
        <v>0</v>
      </c>
      <c r="BP175" s="1686">
        <v>0</v>
      </c>
      <c r="BQ175" s="1686">
        <v>0</v>
      </c>
      <c r="BR175" s="1686">
        <v>0</v>
      </c>
      <c r="BS175" s="1686">
        <v>0</v>
      </c>
      <c r="BT175" s="1686">
        <v>0</v>
      </c>
      <c r="BU175" s="1686">
        <v>0</v>
      </c>
      <c r="BV175" s="1686">
        <v>0</v>
      </c>
      <c r="BW175" s="1686">
        <v>0</v>
      </c>
      <c r="BX175" s="1686">
        <v>0</v>
      </c>
      <c r="BY175" s="1686">
        <v>0</v>
      </c>
      <c r="BZ175" s="1686">
        <v>0</v>
      </c>
      <c r="CA175" s="1686">
        <v>0</v>
      </c>
      <c r="CB175" s="1686">
        <v>0</v>
      </c>
      <c r="CC175" s="1686">
        <v>0</v>
      </c>
      <c r="CD175" s="1686">
        <v>0</v>
      </c>
      <c r="CE175" s="1686">
        <v>0</v>
      </c>
      <c r="CF175" s="1686">
        <v>1.8798223400639413</v>
      </c>
      <c r="CG175" s="1686">
        <v>0</v>
      </c>
      <c r="CH175" s="1686">
        <v>0</v>
      </c>
      <c r="CI175" s="1686">
        <v>0</v>
      </c>
      <c r="CJ175" s="1686">
        <v>0</v>
      </c>
      <c r="CK175" s="1686">
        <v>0</v>
      </c>
      <c r="CL175" s="1686">
        <v>0</v>
      </c>
      <c r="CM175" s="1686">
        <v>0</v>
      </c>
      <c r="CN175" s="1686">
        <v>0</v>
      </c>
      <c r="CO175" s="1686">
        <v>0</v>
      </c>
      <c r="CP175" s="1687">
        <v>0</v>
      </c>
    </row>
    <row r="176" spans="2:94" ht="28" x14ac:dyDescent="0.3">
      <c r="B176" s="1741"/>
      <c r="C176" s="1678" t="s">
        <v>2204</v>
      </c>
      <c r="D176" s="1260" t="s">
        <v>2230</v>
      </c>
      <c r="E176" s="1260" t="str">
        <v>Borehole Installation (60)</v>
      </c>
      <c r="F176" s="1264"/>
      <c r="G176" s="1264">
        <v>60</v>
      </c>
      <c r="H176" s="1260" t="str">
        <v>Fixed</v>
      </c>
      <c r="I176" s="1262"/>
      <c r="J176" s="1263"/>
      <c r="K176" s="1261"/>
      <c r="L176" s="1684"/>
      <c r="M176" s="1685"/>
      <c r="N176" s="1686" t="s">
        <v>2203</v>
      </c>
      <c r="O176" s="1686">
        <v>0</v>
      </c>
      <c r="P176" s="1686">
        <v>0</v>
      </c>
      <c r="Q176" s="1686">
        <v>0</v>
      </c>
      <c r="R176" s="1686">
        <v>0</v>
      </c>
      <c r="S176" s="1686">
        <v>0</v>
      </c>
      <c r="T176" s="1686">
        <v>0</v>
      </c>
      <c r="U176" s="1686">
        <v>0</v>
      </c>
      <c r="V176" s="1686">
        <v>0</v>
      </c>
      <c r="W176" s="1686">
        <v>0</v>
      </c>
      <c r="X176" s="1686">
        <v>0</v>
      </c>
      <c r="Y176" s="1686">
        <v>0</v>
      </c>
      <c r="Z176" s="1686">
        <v>0</v>
      </c>
      <c r="AA176" s="1686">
        <v>0</v>
      </c>
      <c r="AB176" s="1686">
        <v>0</v>
      </c>
      <c r="AC176" s="1686">
        <v>0</v>
      </c>
      <c r="AD176" s="1686">
        <v>0</v>
      </c>
      <c r="AE176" s="1686">
        <v>0</v>
      </c>
      <c r="AF176" s="1686">
        <v>0</v>
      </c>
      <c r="AG176" s="1686">
        <v>0</v>
      </c>
      <c r="AH176" s="1686">
        <v>0</v>
      </c>
      <c r="AI176" s="1686">
        <v>0</v>
      </c>
      <c r="AJ176" s="1686">
        <v>0</v>
      </c>
      <c r="AK176" s="1686">
        <v>0</v>
      </c>
      <c r="AL176" s="1686">
        <v>0</v>
      </c>
      <c r="AM176" s="1686">
        <v>0</v>
      </c>
      <c r="AN176" s="1686">
        <v>0</v>
      </c>
      <c r="AO176" s="1686">
        <v>0</v>
      </c>
      <c r="AP176" s="1686">
        <v>0</v>
      </c>
      <c r="AQ176" s="1686">
        <v>0</v>
      </c>
      <c r="AR176" s="1686">
        <v>0</v>
      </c>
      <c r="AS176" s="1686">
        <v>0</v>
      </c>
      <c r="AT176" s="1686">
        <v>0</v>
      </c>
      <c r="AU176" s="1686">
        <v>0</v>
      </c>
      <c r="AV176" s="1686">
        <v>0</v>
      </c>
      <c r="AW176" s="1686">
        <v>0</v>
      </c>
      <c r="AX176" s="1686">
        <v>0</v>
      </c>
      <c r="AY176" s="1686">
        <v>0</v>
      </c>
      <c r="AZ176" s="1686">
        <v>0</v>
      </c>
      <c r="BA176" s="1686">
        <v>0</v>
      </c>
      <c r="BB176" s="1686">
        <v>0</v>
      </c>
      <c r="BC176" s="1686">
        <v>0</v>
      </c>
      <c r="BD176" s="1686">
        <v>0</v>
      </c>
      <c r="BE176" s="1686">
        <v>0</v>
      </c>
      <c r="BF176" s="1686">
        <v>0</v>
      </c>
      <c r="BG176" s="1686">
        <v>0</v>
      </c>
      <c r="BH176" s="1686">
        <v>0</v>
      </c>
      <c r="BI176" s="1686">
        <v>0</v>
      </c>
      <c r="BJ176" s="1686">
        <v>0</v>
      </c>
      <c r="BK176" s="1686">
        <v>0</v>
      </c>
      <c r="BL176" s="1686">
        <v>0</v>
      </c>
      <c r="BM176" s="1686">
        <v>0</v>
      </c>
      <c r="BN176" s="1686">
        <v>0</v>
      </c>
      <c r="BO176" s="1686">
        <v>0</v>
      </c>
      <c r="BP176" s="1686">
        <v>0</v>
      </c>
      <c r="BQ176" s="1686">
        <v>0</v>
      </c>
      <c r="BR176" s="1686">
        <v>0</v>
      </c>
      <c r="BS176" s="1686">
        <v>0</v>
      </c>
      <c r="BT176" s="1686">
        <v>0</v>
      </c>
      <c r="BU176" s="1686">
        <v>0</v>
      </c>
      <c r="BV176" s="1686">
        <v>0</v>
      </c>
      <c r="BW176" s="1686">
        <v>0</v>
      </c>
      <c r="BX176" s="1686">
        <v>0</v>
      </c>
      <c r="BY176" s="1686">
        <v>0</v>
      </c>
      <c r="BZ176" s="1686">
        <v>0</v>
      </c>
      <c r="CA176" s="1686">
        <v>0</v>
      </c>
      <c r="CB176" s="1686">
        <v>0</v>
      </c>
      <c r="CC176" s="1686">
        <v>0</v>
      </c>
      <c r="CD176" s="1686">
        <v>0</v>
      </c>
      <c r="CE176" s="1686">
        <v>0</v>
      </c>
      <c r="CF176" s="1686">
        <v>0</v>
      </c>
      <c r="CG176" s="1686">
        <v>0</v>
      </c>
      <c r="CH176" s="1686">
        <v>0</v>
      </c>
      <c r="CI176" s="1686">
        <v>0</v>
      </c>
      <c r="CJ176" s="1686">
        <v>0</v>
      </c>
      <c r="CK176" s="1686">
        <v>0</v>
      </c>
      <c r="CL176" s="1686">
        <v>0</v>
      </c>
      <c r="CM176" s="1686">
        <v>0</v>
      </c>
      <c r="CN176" s="1686">
        <v>0</v>
      </c>
      <c r="CO176" s="1686">
        <v>0</v>
      </c>
      <c r="CP176" s="1687">
        <v>0</v>
      </c>
    </row>
    <row r="177" spans="2:94" ht="28" x14ac:dyDescent="0.3">
      <c r="B177" s="1741"/>
      <c r="C177" s="1678" t="s">
        <v>2204</v>
      </c>
      <c r="D177" s="1260" t="s">
        <v>2231</v>
      </c>
      <c r="E177" s="1260" t="str">
        <v>Headworks/Valves (60)</v>
      </c>
      <c r="F177" s="1264"/>
      <c r="G177" s="1264">
        <v>60</v>
      </c>
      <c r="H177" s="1260" t="str">
        <v>Fixed</v>
      </c>
      <c r="I177" s="1262"/>
      <c r="J177" s="1263"/>
      <c r="K177" s="1261"/>
      <c r="L177" s="1684"/>
      <c r="M177" s="1685"/>
      <c r="N177" s="1686" t="s">
        <v>2203</v>
      </c>
      <c r="O177" s="1686">
        <v>0</v>
      </c>
      <c r="P177" s="1686">
        <v>0</v>
      </c>
      <c r="Q177" s="1686">
        <v>0</v>
      </c>
      <c r="R177" s="1686">
        <v>0</v>
      </c>
      <c r="S177" s="1686">
        <v>0</v>
      </c>
      <c r="T177" s="1686">
        <v>0</v>
      </c>
      <c r="U177" s="1686">
        <v>0</v>
      </c>
      <c r="V177" s="1686">
        <v>0</v>
      </c>
      <c r="W177" s="1686">
        <v>0</v>
      </c>
      <c r="X177" s="1686">
        <v>0</v>
      </c>
      <c r="Y177" s="1686">
        <v>0</v>
      </c>
      <c r="Z177" s="1686">
        <v>0</v>
      </c>
      <c r="AA177" s="1686">
        <v>0</v>
      </c>
      <c r="AB177" s="1686">
        <v>0</v>
      </c>
      <c r="AC177" s="1686">
        <v>0</v>
      </c>
      <c r="AD177" s="1686">
        <v>0</v>
      </c>
      <c r="AE177" s="1686">
        <v>0</v>
      </c>
      <c r="AF177" s="1686">
        <v>0</v>
      </c>
      <c r="AG177" s="1686">
        <v>0</v>
      </c>
      <c r="AH177" s="1686">
        <v>0</v>
      </c>
      <c r="AI177" s="1686">
        <v>0</v>
      </c>
      <c r="AJ177" s="1686">
        <v>0</v>
      </c>
      <c r="AK177" s="1686">
        <v>0</v>
      </c>
      <c r="AL177" s="1686">
        <v>0</v>
      </c>
      <c r="AM177" s="1686">
        <v>0</v>
      </c>
      <c r="AN177" s="1686">
        <v>0</v>
      </c>
      <c r="AO177" s="1686">
        <v>0</v>
      </c>
      <c r="AP177" s="1686">
        <v>0</v>
      </c>
      <c r="AQ177" s="1686">
        <v>0</v>
      </c>
      <c r="AR177" s="1686">
        <v>0</v>
      </c>
      <c r="AS177" s="1686">
        <v>0</v>
      </c>
      <c r="AT177" s="1686">
        <v>0</v>
      </c>
      <c r="AU177" s="1686">
        <v>0</v>
      </c>
      <c r="AV177" s="1686">
        <v>0</v>
      </c>
      <c r="AW177" s="1686">
        <v>0</v>
      </c>
      <c r="AX177" s="1686">
        <v>0</v>
      </c>
      <c r="AY177" s="1686">
        <v>0</v>
      </c>
      <c r="AZ177" s="1686">
        <v>0</v>
      </c>
      <c r="BA177" s="1686">
        <v>0</v>
      </c>
      <c r="BB177" s="1686">
        <v>0</v>
      </c>
      <c r="BC177" s="1686">
        <v>0</v>
      </c>
      <c r="BD177" s="1686">
        <v>0</v>
      </c>
      <c r="BE177" s="1686">
        <v>0</v>
      </c>
      <c r="BF177" s="1686">
        <v>0</v>
      </c>
      <c r="BG177" s="1686">
        <v>0</v>
      </c>
      <c r="BH177" s="1686">
        <v>0</v>
      </c>
      <c r="BI177" s="1686">
        <v>0</v>
      </c>
      <c r="BJ177" s="1686">
        <v>0</v>
      </c>
      <c r="BK177" s="1686">
        <v>0</v>
      </c>
      <c r="BL177" s="1686">
        <v>0</v>
      </c>
      <c r="BM177" s="1686">
        <v>0</v>
      </c>
      <c r="BN177" s="1686">
        <v>0</v>
      </c>
      <c r="BO177" s="1686">
        <v>0</v>
      </c>
      <c r="BP177" s="1686">
        <v>0</v>
      </c>
      <c r="BQ177" s="1686">
        <v>0</v>
      </c>
      <c r="BR177" s="1686">
        <v>0</v>
      </c>
      <c r="BS177" s="1686">
        <v>0</v>
      </c>
      <c r="BT177" s="1686">
        <v>0</v>
      </c>
      <c r="BU177" s="1686">
        <v>0</v>
      </c>
      <c r="BV177" s="1686">
        <v>0</v>
      </c>
      <c r="BW177" s="1686">
        <v>0</v>
      </c>
      <c r="BX177" s="1686">
        <v>0</v>
      </c>
      <c r="BY177" s="1686">
        <v>0</v>
      </c>
      <c r="BZ177" s="1686">
        <v>0</v>
      </c>
      <c r="CA177" s="1686">
        <v>0</v>
      </c>
      <c r="CB177" s="1686">
        <v>0</v>
      </c>
      <c r="CC177" s="1686">
        <v>0</v>
      </c>
      <c r="CD177" s="1686">
        <v>0</v>
      </c>
      <c r="CE177" s="1686">
        <v>0</v>
      </c>
      <c r="CF177" s="1686">
        <v>0</v>
      </c>
      <c r="CG177" s="1686">
        <v>0</v>
      </c>
      <c r="CH177" s="1686">
        <v>0</v>
      </c>
      <c r="CI177" s="1686">
        <v>0</v>
      </c>
      <c r="CJ177" s="1686">
        <v>0</v>
      </c>
      <c r="CK177" s="1686">
        <v>0</v>
      </c>
      <c r="CL177" s="1686">
        <v>0</v>
      </c>
      <c r="CM177" s="1686">
        <v>0</v>
      </c>
      <c r="CN177" s="1686">
        <v>0</v>
      </c>
      <c r="CO177" s="1686">
        <v>0</v>
      </c>
      <c r="CP177" s="1687">
        <v>0</v>
      </c>
    </row>
    <row r="178" spans="2:94" ht="28" x14ac:dyDescent="0.3">
      <c r="B178" s="1741"/>
      <c r="C178" s="1678" t="s">
        <v>2204</v>
      </c>
      <c r="D178" s="1260" t="s">
        <v>2232</v>
      </c>
      <c r="E178" s="1260" t="str">
        <v>Underwater Assets (60)</v>
      </c>
      <c r="F178" s="1264"/>
      <c r="G178" s="1264">
        <v>60</v>
      </c>
      <c r="H178" s="1260" t="str">
        <v>Fixed</v>
      </c>
      <c r="I178" s="1262"/>
      <c r="J178" s="1263"/>
      <c r="K178" s="1261"/>
      <c r="L178" s="1684"/>
      <c r="M178" s="1685"/>
      <c r="N178" s="1686" t="s">
        <v>2203</v>
      </c>
      <c r="O178" s="1686">
        <v>0</v>
      </c>
      <c r="P178" s="1686">
        <v>0</v>
      </c>
      <c r="Q178" s="1686">
        <v>0</v>
      </c>
      <c r="R178" s="1686">
        <v>0</v>
      </c>
      <c r="S178" s="1686">
        <v>0</v>
      </c>
      <c r="T178" s="1686">
        <v>0</v>
      </c>
      <c r="U178" s="1686">
        <v>0</v>
      </c>
      <c r="V178" s="1686">
        <v>0</v>
      </c>
      <c r="W178" s="1686">
        <v>0</v>
      </c>
      <c r="X178" s="1686">
        <v>0</v>
      </c>
      <c r="Y178" s="1686">
        <v>0</v>
      </c>
      <c r="Z178" s="1686">
        <v>0</v>
      </c>
      <c r="AA178" s="1686">
        <v>0</v>
      </c>
      <c r="AB178" s="1686">
        <v>0</v>
      </c>
      <c r="AC178" s="1686">
        <v>0</v>
      </c>
      <c r="AD178" s="1686">
        <v>0</v>
      </c>
      <c r="AE178" s="1686">
        <v>0</v>
      </c>
      <c r="AF178" s="1686">
        <v>0</v>
      </c>
      <c r="AG178" s="1686">
        <v>0</v>
      </c>
      <c r="AH178" s="1686">
        <v>0</v>
      </c>
      <c r="AI178" s="1686">
        <v>0</v>
      </c>
      <c r="AJ178" s="1686">
        <v>0</v>
      </c>
      <c r="AK178" s="1686">
        <v>0</v>
      </c>
      <c r="AL178" s="1686">
        <v>0</v>
      </c>
      <c r="AM178" s="1686">
        <v>0</v>
      </c>
      <c r="AN178" s="1686">
        <v>0</v>
      </c>
      <c r="AO178" s="1686">
        <v>0</v>
      </c>
      <c r="AP178" s="1686">
        <v>0</v>
      </c>
      <c r="AQ178" s="1686">
        <v>0</v>
      </c>
      <c r="AR178" s="1686">
        <v>0</v>
      </c>
      <c r="AS178" s="1686">
        <v>0</v>
      </c>
      <c r="AT178" s="1686">
        <v>0</v>
      </c>
      <c r="AU178" s="1686">
        <v>0</v>
      </c>
      <c r="AV178" s="1686">
        <v>0</v>
      </c>
      <c r="AW178" s="1686">
        <v>0</v>
      </c>
      <c r="AX178" s="1686">
        <v>0</v>
      </c>
      <c r="AY178" s="1686">
        <v>0</v>
      </c>
      <c r="AZ178" s="1686">
        <v>0</v>
      </c>
      <c r="BA178" s="1686">
        <v>0</v>
      </c>
      <c r="BB178" s="1686">
        <v>0</v>
      </c>
      <c r="BC178" s="1686">
        <v>0</v>
      </c>
      <c r="BD178" s="1686">
        <v>0</v>
      </c>
      <c r="BE178" s="1686">
        <v>0</v>
      </c>
      <c r="BF178" s="1686">
        <v>0</v>
      </c>
      <c r="BG178" s="1686">
        <v>0</v>
      </c>
      <c r="BH178" s="1686">
        <v>0</v>
      </c>
      <c r="BI178" s="1686">
        <v>0</v>
      </c>
      <c r="BJ178" s="1686">
        <v>0</v>
      </c>
      <c r="BK178" s="1686">
        <v>0</v>
      </c>
      <c r="BL178" s="1686">
        <v>0</v>
      </c>
      <c r="BM178" s="1686">
        <v>0</v>
      </c>
      <c r="BN178" s="1686">
        <v>0</v>
      </c>
      <c r="BO178" s="1686">
        <v>0</v>
      </c>
      <c r="BP178" s="1686">
        <v>0</v>
      </c>
      <c r="BQ178" s="1686">
        <v>0</v>
      </c>
      <c r="BR178" s="1686">
        <v>0</v>
      </c>
      <c r="BS178" s="1686">
        <v>0</v>
      </c>
      <c r="BT178" s="1686">
        <v>0</v>
      </c>
      <c r="BU178" s="1686">
        <v>0</v>
      </c>
      <c r="BV178" s="1686">
        <v>0</v>
      </c>
      <c r="BW178" s="1686">
        <v>0</v>
      </c>
      <c r="BX178" s="1686">
        <v>0</v>
      </c>
      <c r="BY178" s="1686">
        <v>0</v>
      </c>
      <c r="BZ178" s="1686">
        <v>0</v>
      </c>
      <c r="CA178" s="1686">
        <v>0</v>
      </c>
      <c r="CB178" s="1686">
        <v>0</v>
      </c>
      <c r="CC178" s="1686">
        <v>0</v>
      </c>
      <c r="CD178" s="1686">
        <v>0</v>
      </c>
      <c r="CE178" s="1686">
        <v>0</v>
      </c>
      <c r="CF178" s="1686">
        <v>0</v>
      </c>
      <c r="CG178" s="1686">
        <v>0</v>
      </c>
      <c r="CH178" s="1686">
        <v>0</v>
      </c>
      <c r="CI178" s="1686">
        <v>0</v>
      </c>
      <c r="CJ178" s="1686">
        <v>0</v>
      </c>
      <c r="CK178" s="1686">
        <v>0</v>
      </c>
      <c r="CL178" s="1686">
        <v>0</v>
      </c>
      <c r="CM178" s="1686">
        <v>0</v>
      </c>
      <c r="CN178" s="1686">
        <v>0</v>
      </c>
      <c r="CO178" s="1686">
        <v>0</v>
      </c>
      <c r="CP178" s="1687">
        <v>0</v>
      </c>
    </row>
    <row r="179" spans="2:94" ht="56" x14ac:dyDescent="0.3">
      <c r="B179" s="1741"/>
      <c r="C179" s="1678" t="s">
        <v>2204</v>
      </c>
      <c r="D179" s="1260" t="s">
        <v>2233</v>
      </c>
      <c r="E179" s="1260" t="str">
        <v>Reinforced Concrete Tanks / Service Reservoirs (80)</v>
      </c>
      <c r="F179" s="1264"/>
      <c r="G179" s="1264">
        <v>80</v>
      </c>
      <c r="H179" s="1260" t="str">
        <v>Fixed</v>
      </c>
      <c r="I179" s="1262"/>
      <c r="J179" s="1263"/>
      <c r="K179" s="1261"/>
      <c r="L179" s="1684"/>
      <c r="M179" s="1685"/>
      <c r="N179" s="1686" t="s">
        <v>2203</v>
      </c>
      <c r="O179" s="1686">
        <v>0</v>
      </c>
      <c r="P179" s="1686">
        <v>0</v>
      </c>
      <c r="Q179" s="1686">
        <v>0</v>
      </c>
      <c r="R179" s="1686">
        <v>0</v>
      </c>
      <c r="S179" s="1686">
        <v>1.8483309347990087</v>
      </c>
      <c r="T179" s="1686">
        <v>1.8483309347990087</v>
      </c>
      <c r="U179" s="1686">
        <v>5.544992804397026</v>
      </c>
      <c r="V179" s="1686">
        <v>11.089985608794052</v>
      </c>
      <c r="W179" s="1686">
        <v>11.089985608794052</v>
      </c>
      <c r="X179" s="1686">
        <v>5.544992804397026</v>
      </c>
      <c r="Y179" s="1686">
        <v>0</v>
      </c>
      <c r="Z179" s="1686">
        <v>0</v>
      </c>
      <c r="AA179" s="1686">
        <v>0</v>
      </c>
      <c r="AB179" s="1686">
        <v>0</v>
      </c>
      <c r="AC179" s="1686">
        <v>0</v>
      </c>
      <c r="AD179" s="1686">
        <v>0</v>
      </c>
      <c r="AE179" s="1686">
        <v>0</v>
      </c>
      <c r="AF179" s="1686">
        <v>0</v>
      </c>
      <c r="AG179" s="1686">
        <v>0</v>
      </c>
      <c r="AH179" s="1686">
        <v>0</v>
      </c>
      <c r="AI179" s="1686">
        <v>0</v>
      </c>
      <c r="AJ179" s="1686">
        <v>0</v>
      </c>
      <c r="AK179" s="1686">
        <v>0</v>
      </c>
      <c r="AL179" s="1686">
        <v>0</v>
      </c>
      <c r="AM179" s="1686">
        <v>0</v>
      </c>
      <c r="AN179" s="1686">
        <v>0</v>
      </c>
      <c r="AO179" s="1686">
        <v>0</v>
      </c>
      <c r="AP179" s="1686">
        <v>0</v>
      </c>
      <c r="AQ179" s="1686">
        <v>0</v>
      </c>
      <c r="AR179" s="1686">
        <v>0</v>
      </c>
      <c r="AS179" s="1686">
        <v>0</v>
      </c>
      <c r="AT179" s="1686">
        <v>0</v>
      </c>
      <c r="AU179" s="1686">
        <v>0</v>
      </c>
      <c r="AV179" s="1686">
        <v>0</v>
      </c>
      <c r="AW179" s="1686">
        <v>0</v>
      </c>
      <c r="AX179" s="1686">
        <v>0</v>
      </c>
      <c r="AY179" s="1686">
        <v>0</v>
      </c>
      <c r="AZ179" s="1686">
        <v>0</v>
      </c>
      <c r="BA179" s="1686">
        <v>0</v>
      </c>
      <c r="BB179" s="1686">
        <v>0</v>
      </c>
      <c r="BC179" s="1686">
        <v>0</v>
      </c>
      <c r="BD179" s="1686">
        <v>0</v>
      </c>
      <c r="BE179" s="1686">
        <v>0</v>
      </c>
      <c r="BF179" s="1686">
        <v>0</v>
      </c>
      <c r="BG179" s="1686">
        <v>0</v>
      </c>
      <c r="BH179" s="1686">
        <v>0</v>
      </c>
      <c r="BI179" s="1686">
        <v>0</v>
      </c>
      <c r="BJ179" s="1686">
        <v>0</v>
      </c>
      <c r="BK179" s="1686">
        <v>0</v>
      </c>
      <c r="BL179" s="1686">
        <v>0</v>
      </c>
      <c r="BM179" s="1686">
        <v>0</v>
      </c>
      <c r="BN179" s="1686">
        <v>0</v>
      </c>
      <c r="BO179" s="1686">
        <v>0</v>
      </c>
      <c r="BP179" s="1686">
        <v>0</v>
      </c>
      <c r="BQ179" s="1686">
        <v>0</v>
      </c>
      <c r="BR179" s="1686">
        <v>0</v>
      </c>
      <c r="BS179" s="1686">
        <v>0</v>
      </c>
      <c r="BT179" s="1686">
        <v>0</v>
      </c>
      <c r="BU179" s="1686">
        <v>0</v>
      </c>
      <c r="BV179" s="1686">
        <v>0</v>
      </c>
      <c r="BW179" s="1686">
        <v>0</v>
      </c>
      <c r="BX179" s="1686">
        <v>0</v>
      </c>
      <c r="BY179" s="1686">
        <v>0</v>
      </c>
      <c r="BZ179" s="1686">
        <v>0</v>
      </c>
      <c r="CA179" s="1686">
        <v>0</v>
      </c>
      <c r="CB179" s="1686">
        <v>0</v>
      </c>
      <c r="CC179" s="1686">
        <v>0</v>
      </c>
      <c r="CD179" s="1686">
        <v>0</v>
      </c>
      <c r="CE179" s="1686">
        <v>0</v>
      </c>
      <c r="CF179" s="1686">
        <v>0</v>
      </c>
      <c r="CG179" s="1686">
        <v>0</v>
      </c>
      <c r="CH179" s="1686">
        <v>0</v>
      </c>
      <c r="CI179" s="1686">
        <v>0</v>
      </c>
      <c r="CJ179" s="1686">
        <v>0</v>
      </c>
      <c r="CK179" s="1686">
        <v>0</v>
      </c>
      <c r="CL179" s="1686">
        <v>0</v>
      </c>
      <c r="CM179" s="1686">
        <v>0</v>
      </c>
      <c r="CN179" s="1686">
        <v>0</v>
      </c>
      <c r="CO179" s="1686">
        <v>0</v>
      </c>
      <c r="CP179" s="1687">
        <v>0</v>
      </c>
    </row>
    <row r="180" spans="2:94" ht="15" customHeight="1" x14ac:dyDescent="0.3">
      <c r="B180" s="1741"/>
      <c r="C180" s="1678" t="s">
        <v>2204</v>
      </c>
      <c r="D180" s="1260" t="s">
        <v>2234</v>
      </c>
      <c r="E180" s="1260" t="str">
        <v>Weirs (100)</v>
      </c>
      <c r="F180" s="1264"/>
      <c r="G180" s="1264">
        <v>100</v>
      </c>
      <c r="H180" s="1260" t="str">
        <v>Fixed</v>
      </c>
      <c r="I180" s="1262"/>
      <c r="J180" s="1263"/>
      <c r="K180" s="1261"/>
      <c r="L180" s="1684"/>
      <c r="M180" s="1685"/>
      <c r="N180" s="1686" t="s">
        <v>2203</v>
      </c>
      <c r="O180" s="1686">
        <v>0</v>
      </c>
      <c r="P180" s="1686">
        <v>0</v>
      </c>
      <c r="Q180" s="1686">
        <v>0</v>
      </c>
      <c r="R180" s="1686">
        <v>0</v>
      </c>
      <c r="S180" s="1686">
        <v>0</v>
      </c>
      <c r="T180" s="1686">
        <v>0</v>
      </c>
      <c r="U180" s="1686">
        <v>0</v>
      </c>
      <c r="V180" s="1686">
        <v>0</v>
      </c>
      <c r="W180" s="1686">
        <v>0</v>
      </c>
      <c r="X180" s="1686">
        <v>0</v>
      </c>
      <c r="Y180" s="1686">
        <v>0</v>
      </c>
      <c r="Z180" s="1686">
        <v>0</v>
      </c>
      <c r="AA180" s="1686">
        <v>0</v>
      </c>
      <c r="AB180" s="1686">
        <v>0</v>
      </c>
      <c r="AC180" s="1686">
        <v>0</v>
      </c>
      <c r="AD180" s="1686">
        <v>0</v>
      </c>
      <c r="AE180" s="1686">
        <v>0</v>
      </c>
      <c r="AF180" s="1686">
        <v>0</v>
      </c>
      <c r="AG180" s="1686">
        <v>0</v>
      </c>
      <c r="AH180" s="1686">
        <v>0</v>
      </c>
      <c r="AI180" s="1686">
        <v>0</v>
      </c>
      <c r="AJ180" s="1686">
        <v>0</v>
      </c>
      <c r="AK180" s="1686">
        <v>0</v>
      </c>
      <c r="AL180" s="1686">
        <v>0</v>
      </c>
      <c r="AM180" s="1686">
        <v>0</v>
      </c>
      <c r="AN180" s="1686">
        <v>0</v>
      </c>
      <c r="AO180" s="1686">
        <v>0</v>
      </c>
      <c r="AP180" s="1686">
        <v>0</v>
      </c>
      <c r="AQ180" s="1686">
        <v>0</v>
      </c>
      <c r="AR180" s="1686">
        <v>0</v>
      </c>
      <c r="AS180" s="1686">
        <v>0</v>
      </c>
      <c r="AT180" s="1686">
        <v>0</v>
      </c>
      <c r="AU180" s="1686">
        <v>0</v>
      </c>
      <c r="AV180" s="1686">
        <v>0</v>
      </c>
      <c r="AW180" s="1686">
        <v>0</v>
      </c>
      <c r="AX180" s="1686">
        <v>0</v>
      </c>
      <c r="AY180" s="1686">
        <v>0</v>
      </c>
      <c r="AZ180" s="1686">
        <v>0</v>
      </c>
      <c r="BA180" s="1686">
        <v>0</v>
      </c>
      <c r="BB180" s="1686">
        <v>0</v>
      </c>
      <c r="BC180" s="1686">
        <v>0</v>
      </c>
      <c r="BD180" s="1686">
        <v>0</v>
      </c>
      <c r="BE180" s="1686">
        <v>0</v>
      </c>
      <c r="BF180" s="1686">
        <v>0</v>
      </c>
      <c r="BG180" s="1686">
        <v>0</v>
      </c>
      <c r="BH180" s="1686">
        <v>0</v>
      </c>
      <c r="BI180" s="1686">
        <v>0</v>
      </c>
      <c r="BJ180" s="1686">
        <v>0</v>
      </c>
      <c r="BK180" s="1686">
        <v>0</v>
      </c>
      <c r="BL180" s="1686">
        <v>0</v>
      </c>
      <c r="BM180" s="1686">
        <v>0</v>
      </c>
      <c r="BN180" s="1686">
        <v>0</v>
      </c>
      <c r="BO180" s="1686">
        <v>0</v>
      </c>
      <c r="BP180" s="1686">
        <v>0</v>
      </c>
      <c r="BQ180" s="1686">
        <v>0</v>
      </c>
      <c r="BR180" s="1686">
        <v>0</v>
      </c>
      <c r="BS180" s="1686">
        <v>0</v>
      </c>
      <c r="BT180" s="1686">
        <v>0</v>
      </c>
      <c r="BU180" s="1686">
        <v>0</v>
      </c>
      <c r="BV180" s="1686">
        <v>0</v>
      </c>
      <c r="BW180" s="1686">
        <v>0</v>
      </c>
      <c r="BX180" s="1686">
        <v>0</v>
      </c>
      <c r="BY180" s="1686">
        <v>0</v>
      </c>
      <c r="BZ180" s="1686">
        <v>0</v>
      </c>
      <c r="CA180" s="1686">
        <v>0</v>
      </c>
      <c r="CB180" s="1686">
        <v>0</v>
      </c>
      <c r="CC180" s="1686">
        <v>0</v>
      </c>
      <c r="CD180" s="1686">
        <v>0</v>
      </c>
      <c r="CE180" s="1686">
        <v>0</v>
      </c>
      <c r="CF180" s="1686">
        <v>0</v>
      </c>
      <c r="CG180" s="1686">
        <v>0</v>
      </c>
      <c r="CH180" s="1686">
        <v>0</v>
      </c>
      <c r="CI180" s="1686">
        <v>0</v>
      </c>
      <c r="CJ180" s="1686">
        <v>0</v>
      </c>
      <c r="CK180" s="1686">
        <v>0</v>
      </c>
      <c r="CL180" s="1686">
        <v>0</v>
      </c>
      <c r="CM180" s="1686">
        <v>0</v>
      </c>
      <c r="CN180" s="1686">
        <v>0</v>
      </c>
      <c r="CO180" s="1686">
        <v>0</v>
      </c>
      <c r="CP180" s="1687">
        <v>0</v>
      </c>
    </row>
    <row r="181" spans="2:94" ht="15" customHeight="1" x14ac:dyDescent="0.3">
      <c r="B181" s="1741"/>
      <c r="C181" s="1678" t="s">
        <v>2204</v>
      </c>
      <c r="D181" s="1260" t="s">
        <v>2235</v>
      </c>
      <c r="E181" s="1260" t="str">
        <v>Pipelines (100)</v>
      </c>
      <c r="F181" s="1264"/>
      <c r="G181" s="1264">
        <v>100</v>
      </c>
      <c r="H181" s="1260" t="str">
        <v>Fixed</v>
      </c>
      <c r="I181" s="1262"/>
      <c r="J181" s="1263"/>
      <c r="K181" s="1261"/>
      <c r="L181" s="1684"/>
      <c r="M181" s="1685"/>
      <c r="N181" s="1686" t="s">
        <v>2203</v>
      </c>
      <c r="O181" s="1686">
        <v>0</v>
      </c>
      <c r="P181" s="1686">
        <v>0</v>
      </c>
      <c r="Q181" s="1686">
        <v>0</v>
      </c>
      <c r="R181" s="1686">
        <v>0</v>
      </c>
      <c r="S181" s="1686">
        <v>7.6184745232356281</v>
      </c>
      <c r="T181" s="1686">
        <v>7.6184745232356281</v>
      </c>
      <c r="U181" s="1686">
        <v>22.855423569706879</v>
      </c>
      <c r="V181" s="1686">
        <v>45.710847139413758</v>
      </c>
      <c r="W181" s="1686">
        <v>45.710847139413758</v>
      </c>
      <c r="X181" s="1686">
        <v>22.855423569706879</v>
      </c>
      <c r="Y181" s="1686">
        <v>0</v>
      </c>
      <c r="Z181" s="1686">
        <v>0</v>
      </c>
      <c r="AA181" s="1686">
        <v>0</v>
      </c>
      <c r="AB181" s="1686">
        <v>0</v>
      </c>
      <c r="AC181" s="1686">
        <v>0</v>
      </c>
      <c r="AD181" s="1686">
        <v>0</v>
      </c>
      <c r="AE181" s="1686">
        <v>0</v>
      </c>
      <c r="AF181" s="1686">
        <v>0</v>
      </c>
      <c r="AG181" s="1686">
        <v>0</v>
      </c>
      <c r="AH181" s="1686">
        <v>0</v>
      </c>
      <c r="AI181" s="1686">
        <v>0</v>
      </c>
      <c r="AJ181" s="1686">
        <v>0</v>
      </c>
      <c r="AK181" s="1686">
        <v>0</v>
      </c>
      <c r="AL181" s="1686">
        <v>0</v>
      </c>
      <c r="AM181" s="1686">
        <v>0</v>
      </c>
      <c r="AN181" s="1686">
        <v>0</v>
      </c>
      <c r="AO181" s="1686">
        <v>0</v>
      </c>
      <c r="AP181" s="1686">
        <v>0</v>
      </c>
      <c r="AQ181" s="1686">
        <v>0</v>
      </c>
      <c r="AR181" s="1686">
        <v>0</v>
      </c>
      <c r="AS181" s="1686">
        <v>0</v>
      </c>
      <c r="AT181" s="1686">
        <v>0</v>
      </c>
      <c r="AU181" s="1686">
        <v>0</v>
      </c>
      <c r="AV181" s="1686">
        <v>0</v>
      </c>
      <c r="AW181" s="1686">
        <v>0</v>
      </c>
      <c r="AX181" s="1686">
        <v>0</v>
      </c>
      <c r="AY181" s="1686">
        <v>0</v>
      </c>
      <c r="AZ181" s="1686">
        <v>0</v>
      </c>
      <c r="BA181" s="1686">
        <v>0</v>
      </c>
      <c r="BB181" s="1686">
        <v>0</v>
      </c>
      <c r="BC181" s="1686">
        <v>0</v>
      </c>
      <c r="BD181" s="1686">
        <v>0</v>
      </c>
      <c r="BE181" s="1686">
        <v>0</v>
      </c>
      <c r="BF181" s="1686">
        <v>0</v>
      </c>
      <c r="BG181" s="1686">
        <v>0</v>
      </c>
      <c r="BH181" s="1686">
        <v>0</v>
      </c>
      <c r="BI181" s="1686">
        <v>0</v>
      </c>
      <c r="BJ181" s="1686">
        <v>0</v>
      </c>
      <c r="BK181" s="1686">
        <v>0</v>
      </c>
      <c r="BL181" s="1686">
        <v>0</v>
      </c>
      <c r="BM181" s="1686">
        <v>0</v>
      </c>
      <c r="BN181" s="1686">
        <v>0</v>
      </c>
      <c r="BO181" s="1686">
        <v>0</v>
      </c>
      <c r="BP181" s="1686">
        <v>0</v>
      </c>
      <c r="BQ181" s="1686">
        <v>0</v>
      </c>
      <c r="BR181" s="1686">
        <v>0</v>
      </c>
      <c r="BS181" s="1686">
        <v>0</v>
      </c>
      <c r="BT181" s="1686">
        <v>0</v>
      </c>
      <c r="BU181" s="1686">
        <v>0</v>
      </c>
      <c r="BV181" s="1686">
        <v>0</v>
      </c>
      <c r="BW181" s="1686">
        <v>0</v>
      </c>
      <c r="BX181" s="1686">
        <v>0</v>
      </c>
      <c r="BY181" s="1686">
        <v>0</v>
      </c>
      <c r="BZ181" s="1686">
        <v>0</v>
      </c>
      <c r="CA181" s="1686">
        <v>0</v>
      </c>
      <c r="CB181" s="1686">
        <v>0</v>
      </c>
      <c r="CC181" s="1686">
        <v>0</v>
      </c>
      <c r="CD181" s="1686">
        <v>0</v>
      </c>
      <c r="CE181" s="1686">
        <v>0</v>
      </c>
      <c r="CF181" s="1686">
        <v>0</v>
      </c>
      <c r="CG181" s="1686">
        <v>0</v>
      </c>
      <c r="CH181" s="1686">
        <v>0</v>
      </c>
      <c r="CI181" s="1686">
        <v>0</v>
      </c>
      <c r="CJ181" s="1686">
        <v>0</v>
      </c>
      <c r="CK181" s="1686">
        <v>0</v>
      </c>
      <c r="CL181" s="1686">
        <v>0</v>
      </c>
      <c r="CM181" s="1686">
        <v>0</v>
      </c>
      <c r="CN181" s="1686">
        <v>0</v>
      </c>
      <c r="CO181" s="1686">
        <v>0</v>
      </c>
      <c r="CP181" s="1687">
        <v>0</v>
      </c>
    </row>
    <row r="182" spans="2:94" ht="15" customHeight="1" x14ac:dyDescent="0.3">
      <c r="B182" s="1741"/>
      <c r="C182" s="1678" t="s">
        <v>2204</v>
      </c>
      <c r="D182" s="1260" t="s">
        <v>2236</v>
      </c>
      <c r="E182" s="1260" t="str">
        <v>Tunnels (100)</v>
      </c>
      <c r="F182" s="1264"/>
      <c r="G182" s="1264">
        <v>100</v>
      </c>
      <c r="H182" s="1260" t="str">
        <v>Fixed</v>
      </c>
      <c r="I182" s="1262"/>
      <c r="J182" s="1263"/>
      <c r="K182" s="1261"/>
      <c r="L182" s="1684"/>
      <c r="M182" s="1685"/>
      <c r="N182" s="1686" t="s">
        <v>2203</v>
      </c>
      <c r="O182" s="1686">
        <v>0</v>
      </c>
      <c r="P182" s="1686">
        <v>0</v>
      </c>
      <c r="Q182" s="1686">
        <v>0</v>
      </c>
      <c r="R182" s="1686">
        <v>0</v>
      </c>
      <c r="S182" s="1686">
        <v>0.12730606806916664</v>
      </c>
      <c r="T182" s="1686">
        <v>0.12730606806916664</v>
      </c>
      <c r="U182" s="1686">
        <v>0.38191820420749978</v>
      </c>
      <c r="V182" s="1686">
        <v>0.76383640841499956</v>
      </c>
      <c r="W182" s="1686">
        <v>0.76383640841499956</v>
      </c>
      <c r="X182" s="1686">
        <v>0.38191820420749978</v>
      </c>
      <c r="Y182" s="1686">
        <v>0</v>
      </c>
      <c r="Z182" s="1686">
        <v>0</v>
      </c>
      <c r="AA182" s="1686">
        <v>0</v>
      </c>
      <c r="AB182" s="1686">
        <v>0</v>
      </c>
      <c r="AC182" s="1686">
        <v>0</v>
      </c>
      <c r="AD182" s="1686">
        <v>0</v>
      </c>
      <c r="AE182" s="1686">
        <v>0</v>
      </c>
      <c r="AF182" s="1686">
        <v>0</v>
      </c>
      <c r="AG182" s="1686">
        <v>0</v>
      </c>
      <c r="AH182" s="1686">
        <v>0</v>
      </c>
      <c r="AI182" s="1686">
        <v>0</v>
      </c>
      <c r="AJ182" s="1686">
        <v>0</v>
      </c>
      <c r="AK182" s="1686">
        <v>0</v>
      </c>
      <c r="AL182" s="1686">
        <v>0</v>
      </c>
      <c r="AM182" s="1686">
        <v>0</v>
      </c>
      <c r="AN182" s="1686">
        <v>0</v>
      </c>
      <c r="AO182" s="1686">
        <v>0</v>
      </c>
      <c r="AP182" s="1686">
        <v>0</v>
      </c>
      <c r="AQ182" s="1686">
        <v>0</v>
      </c>
      <c r="AR182" s="1686">
        <v>0</v>
      </c>
      <c r="AS182" s="1686">
        <v>0</v>
      </c>
      <c r="AT182" s="1686">
        <v>0</v>
      </c>
      <c r="AU182" s="1686">
        <v>0</v>
      </c>
      <c r="AV182" s="1686">
        <v>0</v>
      </c>
      <c r="AW182" s="1686">
        <v>0</v>
      </c>
      <c r="AX182" s="1686">
        <v>0</v>
      </c>
      <c r="AY182" s="1686">
        <v>0</v>
      </c>
      <c r="AZ182" s="1686">
        <v>0</v>
      </c>
      <c r="BA182" s="1686">
        <v>0</v>
      </c>
      <c r="BB182" s="1686">
        <v>0</v>
      </c>
      <c r="BC182" s="1686">
        <v>0</v>
      </c>
      <c r="BD182" s="1686">
        <v>0</v>
      </c>
      <c r="BE182" s="1686">
        <v>0</v>
      </c>
      <c r="BF182" s="1686">
        <v>0</v>
      </c>
      <c r="BG182" s="1686">
        <v>0</v>
      </c>
      <c r="BH182" s="1686">
        <v>0</v>
      </c>
      <c r="BI182" s="1686">
        <v>0</v>
      </c>
      <c r="BJ182" s="1686">
        <v>0</v>
      </c>
      <c r="BK182" s="1686">
        <v>0</v>
      </c>
      <c r="BL182" s="1686">
        <v>0</v>
      </c>
      <c r="BM182" s="1686">
        <v>0</v>
      </c>
      <c r="BN182" s="1686">
        <v>0</v>
      </c>
      <c r="BO182" s="1686">
        <v>0</v>
      </c>
      <c r="BP182" s="1686">
        <v>0</v>
      </c>
      <c r="BQ182" s="1686">
        <v>0</v>
      </c>
      <c r="BR182" s="1686">
        <v>0</v>
      </c>
      <c r="BS182" s="1686">
        <v>0</v>
      </c>
      <c r="BT182" s="1686">
        <v>0</v>
      </c>
      <c r="BU182" s="1686">
        <v>0</v>
      </c>
      <c r="BV182" s="1686">
        <v>0</v>
      </c>
      <c r="BW182" s="1686">
        <v>0</v>
      </c>
      <c r="BX182" s="1686">
        <v>0</v>
      </c>
      <c r="BY182" s="1686">
        <v>0</v>
      </c>
      <c r="BZ182" s="1686">
        <v>0</v>
      </c>
      <c r="CA182" s="1686">
        <v>0</v>
      </c>
      <c r="CB182" s="1686">
        <v>0</v>
      </c>
      <c r="CC182" s="1686">
        <v>0</v>
      </c>
      <c r="CD182" s="1686">
        <v>0</v>
      </c>
      <c r="CE182" s="1686">
        <v>0</v>
      </c>
      <c r="CF182" s="1686">
        <v>0</v>
      </c>
      <c r="CG182" s="1686">
        <v>0</v>
      </c>
      <c r="CH182" s="1686">
        <v>0</v>
      </c>
      <c r="CI182" s="1686">
        <v>0</v>
      </c>
      <c r="CJ182" s="1686">
        <v>0</v>
      </c>
      <c r="CK182" s="1686">
        <v>0</v>
      </c>
      <c r="CL182" s="1686">
        <v>0</v>
      </c>
      <c r="CM182" s="1686">
        <v>0</v>
      </c>
      <c r="CN182" s="1686">
        <v>0</v>
      </c>
      <c r="CO182" s="1686">
        <v>0</v>
      </c>
      <c r="CP182" s="1687">
        <v>0</v>
      </c>
    </row>
    <row r="183" spans="2:94" ht="15" customHeight="1" x14ac:dyDescent="0.3">
      <c r="B183" s="1741"/>
      <c r="C183" s="1678" t="s">
        <v>2204</v>
      </c>
      <c r="D183" s="1260" t="s">
        <v>2237</v>
      </c>
      <c r="E183" s="1260" t="str">
        <v>Aqueducts (100)</v>
      </c>
      <c r="F183" s="1264"/>
      <c r="G183" s="1264">
        <v>100</v>
      </c>
      <c r="H183" s="1260" t="str">
        <v>Fixed</v>
      </c>
      <c r="I183" s="1262"/>
      <c r="J183" s="1263"/>
      <c r="K183" s="1261"/>
      <c r="L183" s="1684"/>
      <c r="M183" s="1685"/>
      <c r="N183" s="1686" t="s">
        <v>2203</v>
      </c>
      <c r="O183" s="1686">
        <v>0</v>
      </c>
      <c r="P183" s="1686">
        <v>0</v>
      </c>
      <c r="Q183" s="1686">
        <v>0</v>
      </c>
      <c r="R183" s="1686">
        <v>0</v>
      </c>
      <c r="S183" s="1686">
        <v>0</v>
      </c>
      <c r="T183" s="1686">
        <v>0</v>
      </c>
      <c r="U183" s="1686">
        <v>0</v>
      </c>
      <c r="V183" s="1686">
        <v>0</v>
      </c>
      <c r="W183" s="1686">
        <v>0</v>
      </c>
      <c r="X183" s="1686">
        <v>0</v>
      </c>
      <c r="Y183" s="1686">
        <v>0</v>
      </c>
      <c r="Z183" s="1686">
        <v>0</v>
      </c>
      <c r="AA183" s="1686">
        <v>0</v>
      </c>
      <c r="AB183" s="1686">
        <v>0</v>
      </c>
      <c r="AC183" s="1686">
        <v>0</v>
      </c>
      <c r="AD183" s="1686">
        <v>0</v>
      </c>
      <c r="AE183" s="1686">
        <v>0</v>
      </c>
      <c r="AF183" s="1686">
        <v>0</v>
      </c>
      <c r="AG183" s="1686">
        <v>0</v>
      </c>
      <c r="AH183" s="1686">
        <v>0</v>
      </c>
      <c r="AI183" s="1686">
        <v>0</v>
      </c>
      <c r="AJ183" s="1686">
        <v>0</v>
      </c>
      <c r="AK183" s="1686">
        <v>0</v>
      </c>
      <c r="AL183" s="1686">
        <v>0</v>
      </c>
      <c r="AM183" s="1686">
        <v>0</v>
      </c>
      <c r="AN183" s="1686">
        <v>0</v>
      </c>
      <c r="AO183" s="1686">
        <v>0</v>
      </c>
      <c r="AP183" s="1686">
        <v>0</v>
      </c>
      <c r="AQ183" s="1686">
        <v>0</v>
      </c>
      <c r="AR183" s="1686">
        <v>0</v>
      </c>
      <c r="AS183" s="1686">
        <v>0</v>
      </c>
      <c r="AT183" s="1686">
        <v>0</v>
      </c>
      <c r="AU183" s="1686">
        <v>0</v>
      </c>
      <c r="AV183" s="1686">
        <v>0</v>
      </c>
      <c r="AW183" s="1686">
        <v>0</v>
      </c>
      <c r="AX183" s="1686">
        <v>0</v>
      </c>
      <c r="AY183" s="1686">
        <v>0</v>
      </c>
      <c r="AZ183" s="1686">
        <v>0</v>
      </c>
      <c r="BA183" s="1686">
        <v>0</v>
      </c>
      <c r="BB183" s="1686">
        <v>0</v>
      </c>
      <c r="BC183" s="1686">
        <v>0</v>
      </c>
      <c r="BD183" s="1686">
        <v>0</v>
      </c>
      <c r="BE183" s="1686">
        <v>0</v>
      </c>
      <c r="BF183" s="1686">
        <v>0</v>
      </c>
      <c r="BG183" s="1686">
        <v>0</v>
      </c>
      <c r="BH183" s="1686">
        <v>0</v>
      </c>
      <c r="BI183" s="1686">
        <v>0</v>
      </c>
      <c r="BJ183" s="1686">
        <v>0</v>
      </c>
      <c r="BK183" s="1686">
        <v>0</v>
      </c>
      <c r="BL183" s="1686">
        <v>0</v>
      </c>
      <c r="BM183" s="1686">
        <v>0</v>
      </c>
      <c r="BN183" s="1686">
        <v>0</v>
      </c>
      <c r="BO183" s="1686">
        <v>0</v>
      </c>
      <c r="BP183" s="1686">
        <v>0</v>
      </c>
      <c r="BQ183" s="1686">
        <v>0</v>
      </c>
      <c r="BR183" s="1686">
        <v>0</v>
      </c>
      <c r="BS183" s="1686">
        <v>0</v>
      </c>
      <c r="BT183" s="1686">
        <v>0</v>
      </c>
      <c r="BU183" s="1686">
        <v>0</v>
      </c>
      <c r="BV183" s="1686">
        <v>0</v>
      </c>
      <c r="BW183" s="1686">
        <v>0</v>
      </c>
      <c r="BX183" s="1686">
        <v>0</v>
      </c>
      <c r="BY183" s="1686">
        <v>0</v>
      </c>
      <c r="BZ183" s="1686">
        <v>0</v>
      </c>
      <c r="CA183" s="1686">
        <v>0</v>
      </c>
      <c r="CB183" s="1686">
        <v>0</v>
      </c>
      <c r="CC183" s="1686">
        <v>0</v>
      </c>
      <c r="CD183" s="1686">
        <v>0</v>
      </c>
      <c r="CE183" s="1686">
        <v>0</v>
      </c>
      <c r="CF183" s="1686">
        <v>0</v>
      </c>
      <c r="CG183" s="1686">
        <v>0</v>
      </c>
      <c r="CH183" s="1686">
        <v>0</v>
      </c>
      <c r="CI183" s="1686">
        <v>0</v>
      </c>
      <c r="CJ183" s="1686">
        <v>0</v>
      </c>
      <c r="CK183" s="1686">
        <v>0</v>
      </c>
      <c r="CL183" s="1686">
        <v>0</v>
      </c>
      <c r="CM183" s="1686">
        <v>0</v>
      </c>
      <c r="CN183" s="1686">
        <v>0</v>
      </c>
      <c r="CO183" s="1686">
        <v>0</v>
      </c>
      <c r="CP183" s="1687">
        <v>0</v>
      </c>
    </row>
    <row r="184" spans="2:94" ht="28" x14ac:dyDescent="0.3">
      <c r="B184" s="1741"/>
      <c r="C184" s="1678" t="s">
        <v>2204</v>
      </c>
      <c r="D184" s="1260" t="s">
        <v>2238</v>
      </c>
      <c r="E184" s="1260" t="str">
        <v>Embankment Works (250)</v>
      </c>
      <c r="F184" s="1264"/>
      <c r="G184" s="1264">
        <v>250</v>
      </c>
      <c r="H184" s="1260" t="str">
        <v>Fixed</v>
      </c>
      <c r="I184" s="1262"/>
      <c r="J184" s="1263"/>
      <c r="K184" s="1261"/>
      <c r="L184" s="1684"/>
      <c r="M184" s="1685"/>
      <c r="N184" s="1686" t="s">
        <v>2203</v>
      </c>
      <c r="O184" s="1686">
        <v>0</v>
      </c>
      <c r="P184" s="1686">
        <v>0</v>
      </c>
      <c r="Q184" s="1686">
        <v>0</v>
      </c>
      <c r="R184" s="1686">
        <v>0</v>
      </c>
      <c r="S184" s="1686">
        <v>6.0764003107830469</v>
      </c>
      <c r="T184" s="1686">
        <v>6.0764003107830469</v>
      </c>
      <c r="U184" s="1686">
        <v>18.229200932349137</v>
      </c>
      <c r="V184" s="1686">
        <v>36.458401864698274</v>
      </c>
      <c r="W184" s="1686">
        <v>36.458401864698274</v>
      </c>
      <c r="X184" s="1686">
        <v>18.229200932349137</v>
      </c>
      <c r="Y184" s="1686">
        <v>0</v>
      </c>
      <c r="Z184" s="1686">
        <v>0</v>
      </c>
      <c r="AA184" s="1686">
        <v>0</v>
      </c>
      <c r="AB184" s="1686">
        <v>0</v>
      </c>
      <c r="AC184" s="1686">
        <v>0</v>
      </c>
      <c r="AD184" s="1686">
        <v>0</v>
      </c>
      <c r="AE184" s="1686">
        <v>0</v>
      </c>
      <c r="AF184" s="1686">
        <v>0</v>
      </c>
      <c r="AG184" s="1686">
        <v>0</v>
      </c>
      <c r="AH184" s="1686">
        <v>0</v>
      </c>
      <c r="AI184" s="1686">
        <v>0</v>
      </c>
      <c r="AJ184" s="1686">
        <v>0</v>
      </c>
      <c r="AK184" s="1686">
        <v>0</v>
      </c>
      <c r="AL184" s="1686">
        <v>0</v>
      </c>
      <c r="AM184" s="1686">
        <v>0</v>
      </c>
      <c r="AN184" s="1686">
        <v>0</v>
      </c>
      <c r="AO184" s="1686">
        <v>0</v>
      </c>
      <c r="AP184" s="1686">
        <v>0</v>
      </c>
      <c r="AQ184" s="1686">
        <v>0</v>
      </c>
      <c r="AR184" s="1686">
        <v>0</v>
      </c>
      <c r="AS184" s="1686">
        <v>0</v>
      </c>
      <c r="AT184" s="1686">
        <v>0</v>
      </c>
      <c r="AU184" s="1686">
        <v>0</v>
      </c>
      <c r="AV184" s="1686">
        <v>0</v>
      </c>
      <c r="AW184" s="1686">
        <v>0</v>
      </c>
      <c r="AX184" s="1686">
        <v>0</v>
      </c>
      <c r="AY184" s="1686">
        <v>0</v>
      </c>
      <c r="AZ184" s="1686">
        <v>0</v>
      </c>
      <c r="BA184" s="1686">
        <v>0</v>
      </c>
      <c r="BB184" s="1686">
        <v>0</v>
      </c>
      <c r="BC184" s="1686">
        <v>0</v>
      </c>
      <c r="BD184" s="1686">
        <v>0</v>
      </c>
      <c r="BE184" s="1686">
        <v>0</v>
      </c>
      <c r="BF184" s="1686">
        <v>0</v>
      </c>
      <c r="BG184" s="1686">
        <v>0</v>
      </c>
      <c r="BH184" s="1686">
        <v>0</v>
      </c>
      <c r="BI184" s="1686">
        <v>0</v>
      </c>
      <c r="BJ184" s="1686">
        <v>0</v>
      </c>
      <c r="BK184" s="1686">
        <v>0</v>
      </c>
      <c r="BL184" s="1686">
        <v>0</v>
      </c>
      <c r="BM184" s="1686">
        <v>0</v>
      </c>
      <c r="BN184" s="1686">
        <v>0</v>
      </c>
      <c r="BO184" s="1686">
        <v>0</v>
      </c>
      <c r="BP184" s="1686">
        <v>0</v>
      </c>
      <c r="BQ184" s="1686">
        <v>0</v>
      </c>
      <c r="BR184" s="1686">
        <v>0</v>
      </c>
      <c r="BS184" s="1686">
        <v>0</v>
      </c>
      <c r="BT184" s="1686">
        <v>0</v>
      </c>
      <c r="BU184" s="1686">
        <v>0</v>
      </c>
      <c r="BV184" s="1686">
        <v>0</v>
      </c>
      <c r="BW184" s="1686">
        <v>0</v>
      </c>
      <c r="BX184" s="1686">
        <v>0</v>
      </c>
      <c r="BY184" s="1686">
        <v>0</v>
      </c>
      <c r="BZ184" s="1686">
        <v>0</v>
      </c>
      <c r="CA184" s="1686">
        <v>0</v>
      </c>
      <c r="CB184" s="1686">
        <v>0</v>
      </c>
      <c r="CC184" s="1686">
        <v>0</v>
      </c>
      <c r="CD184" s="1686">
        <v>0</v>
      </c>
      <c r="CE184" s="1686">
        <v>0</v>
      </c>
      <c r="CF184" s="1686">
        <v>0</v>
      </c>
      <c r="CG184" s="1686">
        <v>0</v>
      </c>
      <c r="CH184" s="1686">
        <v>0</v>
      </c>
      <c r="CI184" s="1686">
        <v>0</v>
      </c>
      <c r="CJ184" s="1686">
        <v>0</v>
      </c>
      <c r="CK184" s="1686">
        <v>0</v>
      </c>
      <c r="CL184" s="1686">
        <v>0</v>
      </c>
      <c r="CM184" s="1686">
        <v>0</v>
      </c>
      <c r="CN184" s="1686">
        <v>0</v>
      </c>
      <c r="CO184" s="1686">
        <v>0</v>
      </c>
      <c r="CP184" s="1687">
        <v>0</v>
      </c>
    </row>
    <row r="185" spans="2:94" ht="15" customHeight="1" x14ac:dyDescent="0.3">
      <c r="B185" s="1741"/>
      <c r="C185" s="1678" t="s">
        <v>2204</v>
      </c>
      <c r="D185" s="1260" t="s">
        <v>2239</v>
      </c>
      <c r="E185" s="1260" t="str">
        <v>Costed Risk</v>
      </c>
      <c r="F185" s="1264"/>
      <c r="G185" s="1264" t="str">
        <v/>
      </c>
      <c r="H185" s="1260" t="str">
        <v>Fixed</v>
      </c>
      <c r="I185" s="1262"/>
      <c r="J185" s="1263"/>
      <c r="K185" s="1261"/>
      <c r="L185" s="1684"/>
      <c r="M185" s="1685"/>
      <c r="N185" s="1686" t="s">
        <v>2203</v>
      </c>
      <c r="O185" s="1686">
        <v>0</v>
      </c>
      <c r="P185" s="1686">
        <v>0</v>
      </c>
      <c r="Q185" s="1686">
        <v>0</v>
      </c>
      <c r="R185" s="1686">
        <v>0</v>
      </c>
      <c r="S185" s="1686">
        <v>6.0175054429091368</v>
      </c>
      <c r="T185" s="1686">
        <v>6.0175054429091368</v>
      </c>
      <c r="U185" s="1686">
        <v>18.052516328727407</v>
      </c>
      <c r="V185" s="1686">
        <v>36.105032657454814</v>
      </c>
      <c r="W185" s="1686">
        <v>36.105032657454814</v>
      </c>
      <c r="X185" s="1686">
        <v>18.052516328727407</v>
      </c>
      <c r="Y185" s="1686">
        <v>0</v>
      </c>
      <c r="Z185" s="1686">
        <v>0</v>
      </c>
      <c r="AA185" s="1686">
        <v>0</v>
      </c>
      <c r="AB185" s="1686">
        <v>0</v>
      </c>
      <c r="AC185" s="1686">
        <v>0</v>
      </c>
      <c r="AD185" s="1686">
        <v>0</v>
      </c>
      <c r="AE185" s="1686">
        <v>0</v>
      </c>
      <c r="AF185" s="1686">
        <v>0</v>
      </c>
      <c r="AG185" s="1686">
        <v>0</v>
      </c>
      <c r="AH185" s="1686">
        <v>0</v>
      </c>
      <c r="AI185" s="1686">
        <v>0</v>
      </c>
      <c r="AJ185" s="1686">
        <v>0</v>
      </c>
      <c r="AK185" s="1686">
        <v>0</v>
      </c>
      <c r="AL185" s="1686">
        <v>0</v>
      </c>
      <c r="AM185" s="1686">
        <v>0</v>
      </c>
      <c r="AN185" s="1686">
        <v>0</v>
      </c>
      <c r="AO185" s="1686">
        <v>0</v>
      </c>
      <c r="AP185" s="1686">
        <v>0</v>
      </c>
      <c r="AQ185" s="1686">
        <v>0</v>
      </c>
      <c r="AR185" s="1686">
        <v>0</v>
      </c>
      <c r="AS185" s="1686">
        <v>0</v>
      </c>
      <c r="AT185" s="1686">
        <v>0</v>
      </c>
      <c r="AU185" s="1686">
        <v>0</v>
      </c>
      <c r="AV185" s="1686">
        <v>0</v>
      </c>
      <c r="AW185" s="1686">
        <v>0</v>
      </c>
      <c r="AX185" s="1686">
        <v>0</v>
      </c>
      <c r="AY185" s="1686">
        <v>0</v>
      </c>
      <c r="AZ185" s="1686">
        <v>0</v>
      </c>
      <c r="BA185" s="1686">
        <v>0</v>
      </c>
      <c r="BB185" s="1686">
        <v>0</v>
      </c>
      <c r="BC185" s="1686">
        <v>0</v>
      </c>
      <c r="BD185" s="1686">
        <v>0</v>
      </c>
      <c r="BE185" s="1686">
        <v>0</v>
      </c>
      <c r="BF185" s="1686">
        <v>0</v>
      </c>
      <c r="BG185" s="1686">
        <v>0</v>
      </c>
      <c r="BH185" s="1686">
        <v>0</v>
      </c>
      <c r="BI185" s="1686">
        <v>0</v>
      </c>
      <c r="BJ185" s="1686">
        <v>0</v>
      </c>
      <c r="BK185" s="1686">
        <v>0</v>
      </c>
      <c r="BL185" s="1686">
        <v>0</v>
      </c>
      <c r="BM185" s="1686">
        <v>0</v>
      </c>
      <c r="BN185" s="1686">
        <v>0</v>
      </c>
      <c r="BO185" s="1686">
        <v>0</v>
      </c>
      <c r="BP185" s="1686">
        <v>0</v>
      </c>
      <c r="BQ185" s="1686">
        <v>0</v>
      </c>
      <c r="BR185" s="1686">
        <v>0</v>
      </c>
      <c r="BS185" s="1686">
        <v>0</v>
      </c>
      <c r="BT185" s="1686">
        <v>0</v>
      </c>
      <c r="BU185" s="1686">
        <v>0</v>
      </c>
      <c r="BV185" s="1686">
        <v>0</v>
      </c>
      <c r="BW185" s="1686">
        <v>0</v>
      </c>
      <c r="BX185" s="1686">
        <v>0</v>
      </c>
      <c r="BY185" s="1686">
        <v>0</v>
      </c>
      <c r="BZ185" s="1686">
        <v>0</v>
      </c>
      <c r="CA185" s="1686">
        <v>0</v>
      </c>
      <c r="CB185" s="1686">
        <v>0</v>
      </c>
      <c r="CC185" s="1686">
        <v>0</v>
      </c>
      <c r="CD185" s="1686">
        <v>0</v>
      </c>
      <c r="CE185" s="1686">
        <v>0</v>
      </c>
      <c r="CF185" s="1686">
        <v>0</v>
      </c>
      <c r="CG185" s="1686">
        <v>0</v>
      </c>
      <c r="CH185" s="1686">
        <v>0</v>
      </c>
      <c r="CI185" s="1686">
        <v>0</v>
      </c>
      <c r="CJ185" s="1686">
        <v>0</v>
      </c>
      <c r="CK185" s="1686">
        <v>0</v>
      </c>
      <c r="CL185" s="1686">
        <v>0</v>
      </c>
      <c r="CM185" s="1686">
        <v>0</v>
      </c>
      <c r="CN185" s="1686">
        <v>0</v>
      </c>
      <c r="CO185" s="1686">
        <v>0</v>
      </c>
      <c r="CP185" s="1687">
        <v>0</v>
      </c>
    </row>
    <row r="186" spans="2:94" ht="15.5" x14ac:dyDescent="0.3">
      <c r="B186" s="1664"/>
      <c r="C186" s="1665"/>
      <c r="D186" s="1665"/>
      <c r="E186" s="1669"/>
      <c r="F186" s="1669"/>
      <c r="G186" s="1670"/>
      <c r="H186" s="1669"/>
      <c r="I186" s="1671"/>
      <c r="J186" s="1671"/>
      <c r="K186" s="1671"/>
      <c r="L186" s="1671"/>
      <c r="M186" s="1671"/>
      <c r="O186" s="1672"/>
      <c r="P186" s="1672"/>
      <c r="Q186" s="1672"/>
      <c r="R186" s="1672"/>
      <c r="S186" s="1672"/>
      <c r="T186" s="1672"/>
      <c r="U186" s="1672"/>
      <c r="V186" s="1672"/>
      <c r="W186" s="1672"/>
      <c r="X186" s="1672"/>
      <c r="Y186" s="1672"/>
      <c r="Z186" s="1672"/>
      <c r="AA186" s="1672"/>
      <c r="AB186" s="1672"/>
      <c r="AC186" s="1672"/>
      <c r="AD186" s="1672"/>
      <c r="AE186" s="1672"/>
      <c r="AF186" s="1672"/>
      <c r="AG186" s="1672"/>
      <c r="AH186" s="1672"/>
      <c r="AI186" s="1672"/>
      <c r="AJ186" s="1672"/>
      <c r="AK186" s="1672"/>
      <c r="AL186" s="1672"/>
      <c r="AM186" s="1672"/>
      <c r="AN186" s="1672"/>
      <c r="AO186" s="1672"/>
      <c r="AP186" s="1672"/>
      <c r="AQ186" s="1672"/>
      <c r="AR186" s="1672"/>
      <c r="AS186" s="1672"/>
      <c r="AT186" s="1672"/>
      <c r="AU186" s="1672"/>
      <c r="AV186" s="1672"/>
      <c r="AW186" s="1672"/>
      <c r="AX186" s="1672"/>
      <c r="AY186" s="1672"/>
      <c r="AZ186" s="1672"/>
      <c r="BA186" s="1672"/>
      <c r="BB186" s="1672"/>
      <c r="BC186" s="1672"/>
      <c r="BD186" s="1672"/>
      <c r="BE186" s="1672"/>
      <c r="BF186" s="1672"/>
      <c r="BG186" s="1672"/>
      <c r="BH186" s="1672"/>
      <c r="BI186" s="1672"/>
      <c r="BJ186" s="1672"/>
      <c r="BK186" s="1672"/>
      <c r="BL186" s="1672"/>
      <c r="BM186" s="1672"/>
      <c r="BN186" s="1672"/>
      <c r="BO186" s="1672"/>
      <c r="BP186" s="1672"/>
      <c r="BQ186" s="1672"/>
      <c r="BR186" s="1672"/>
      <c r="BS186" s="1672"/>
      <c r="BT186" s="1672"/>
      <c r="BU186" s="1672"/>
      <c r="BV186" s="1672"/>
      <c r="BW186" s="1672"/>
      <c r="BX186" s="1672"/>
      <c r="BY186" s="1672"/>
      <c r="BZ186" s="1672"/>
      <c r="CA186" s="1672"/>
      <c r="CB186" s="1672"/>
      <c r="CC186" s="1672"/>
      <c r="CD186" s="1672"/>
      <c r="CE186" s="1672"/>
      <c r="CF186" s="1672"/>
      <c r="CG186" s="1672"/>
      <c r="CH186" s="1672"/>
      <c r="CI186" s="1672"/>
      <c r="CJ186" s="1672"/>
      <c r="CK186" s="1672"/>
      <c r="CL186" s="1672"/>
      <c r="CM186" s="1672"/>
      <c r="CN186" s="1672"/>
      <c r="CO186" s="1672"/>
      <c r="CP186" s="1672"/>
    </row>
    <row r="187" spans="2:94" ht="15.5" x14ac:dyDescent="0.3">
      <c r="B187" s="1664"/>
      <c r="C187" s="1665"/>
      <c r="D187" s="1665"/>
      <c r="E187" s="1669"/>
      <c r="F187" s="1669"/>
      <c r="G187" s="1670"/>
      <c r="H187" s="1669"/>
      <c r="I187" s="1671"/>
      <c r="J187" s="1671"/>
      <c r="K187" s="1671"/>
      <c r="L187" s="1671"/>
      <c r="M187" s="1671"/>
      <c r="O187" s="1672"/>
      <c r="P187" s="1672"/>
      <c r="Q187" s="1672"/>
      <c r="R187" s="1672"/>
      <c r="S187" s="1672"/>
      <c r="T187" s="1672"/>
      <c r="U187" s="1672"/>
      <c r="V187" s="1672"/>
      <c r="W187" s="1672"/>
      <c r="X187" s="1672"/>
      <c r="Y187" s="1672"/>
      <c r="Z187" s="1672"/>
      <c r="AA187" s="1672"/>
      <c r="AB187" s="1672"/>
      <c r="AC187" s="1672"/>
      <c r="AD187" s="1672"/>
      <c r="AE187" s="1672"/>
      <c r="AF187" s="1672"/>
      <c r="AG187" s="1672"/>
      <c r="AH187" s="1672"/>
      <c r="AI187" s="1672"/>
      <c r="AJ187" s="1672"/>
      <c r="AK187" s="1672"/>
      <c r="AL187" s="1672"/>
      <c r="AM187" s="1672"/>
      <c r="AN187" s="1672"/>
      <c r="AO187" s="1672"/>
      <c r="AP187" s="1672"/>
      <c r="AQ187" s="1672"/>
      <c r="AR187" s="1672"/>
      <c r="AS187" s="1672"/>
      <c r="AT187" s="1672"/>
      <c r="AU187" s="1672"/>
      <c r="AV187" s="1672"/>
      <c r="AW187" s="1672"/>
      <c r="AX187" s="1672"/>
      <c r="AY187" s="1672"/>
      <c r="AZ187" s="1672"/>
      <c r="BA187" s="1672"/>
      <c r="BB187" s="1672"/>
      <c r="BC187" s="1672"/>
      <c r="BD187" s="1672"/>
      <c r="BE187" s="1672"/>
      <c r="BF187" s="1672"/>
      <c r="BG187" s="1672"/>
      <c r="BH187" s="1672"/>
      <c r="BI187" s="1672"/>
      <c r="BJ187" s="1672"/>
      <c r="BK187" s="1672"/>
      <c r="BL187" s="1672"/>
      <c r="BM187" s="1672"/>
      <c r="BN187" s="1672"/>
      <c r="BO187" s="1672"/>
      <c r="BP187" s="1672"/>
      <c r="BQ187" s="1672"/>
      <c r="BR187" s="1672"/>
      <c r="BS187" s="1672"/>
      <c r="BT187" s="1672"/>
      <c r="BU187" s="1672"/>
      <c r="BV187" s="1672"/>
      <c r="BW187" s="1672"/>
      <c r="BX187" s="1672"/>
      <c r="BY187" s="1672"/>
      <c r="BZ187" s="1672"/>
      <c r="CA187" s="1672"/>
      <c r="CB187" s="1672"/>
      <c r="CC187" s="1672"/>
      <c r="CD187" s="1672"/>
      <c r="CE187" s="1672"/>
      <c r="CF187" s="1672"/>
      <c r="CG187" s="1672"/>
      <c r="CH187" s="1672"/>
      <c r="CI187" s="1672"/>
      <c r="CJ187" s="1672"/>
      <c r="CK187" s="1672"/>
      <c r="CL187" s="1672"/>
      <c r="CM187" s="1672"/>
      <c r="CN187" s="1672"/>
      <c r="CO187" s="1672"/>
      <c r="CP187" s="1672"/>
    </row>
    <row r="188" spans="2:94" ht="15.5" x14ac:dyDescent="0.3">
      <c r="B188" s="1664"/>
      <c r="C188" s="1665"/>
      <c r="D188" s="1665"/>
      <c r="E188" s="1669"/>
      <c r="F188" s="1669"/>
      <c r="G188" s="1670"/>
      <c r="H188" s="1669"/>
      <c r="I188" s="1671"/>
      <c r="J188" s="1671"/>
      <c r="K188" s="1671"/>
      <c r="L188" s="1671"/>
      <c r="M188" s="1671"/>
      <c r="O188" s="1672"/>
      <c r="P188" s="1672"/>
      <c r="Q188" s="1672"/>
      <c r="R188" s="1672"/>
      <c r="S188" s="1672"/>
      <c r="T188" s="1672"/>
      <c r="U188" s="1672"/>
      <c r="V188" s="1672"/>
      <c r="W188" s="1672"/>
      <c r="X188" s="1672"/>
      <c r="Y188" s="1672"/>
      <c r="Z188" s="1672"/>
      <c r="AA188" s="1672"/>
      <c r="AB188" s="1672"/>
      <c r="AC188" s="1672"/>
      <c r="AD188" s="1672"/>
      <c r="AE188" s="1672"/>
      <c r="AF188" s="1672"/>
      <c r="AG188" s="1672"/>
      <c r="AH188" s="1672"/>
      <c r="AI188" s="1672"/>
      <c r="AJ188" s="1672"/>
      <c r="AK188" s="1672"/>
      <c r="AL188" s="1672"/>
      <c r="AM188" s="1672"/>
      <c r="AN188" s="1672"/>
      <c r="AO188" s="1672"/>
      <c r="AP188" s="1672"/>
      <c r="AQ188" s="1672"/>
      <c r="AR188" s="1672"/>
      <c r="AS188" s="1672"/>
      <c r="AT188" s="1672"/>
      <c r="AU188" s="1672"/>
      <c r="AV188" s="1672"/>
      <c r="AW188" s="1672"/>
      <c r="AX188" s="1672"/>
      <c r="AY188" s="1672"/>
      <c r="AZ188" s="1672"/>
      <c r="BA188" s="1672"/>
      <c r="BB188" s="1672"/>
      <c r="BC188" s="1672"/>
      <c r="BD188" s="1672"/>
      <c r="BE188" s="1672"/>
      <c r="BF188" s="1672"/>
      <c r="BG188" s="1672"/>
      <c r="BH188" s="1672"/>
      <c r="BI188" s="1672"/>
      <c r="BJ188" s="1672"/>
      <c r="BK188" s="1672"/>
      <c r="BL188" s="1672"/>
      <c r="BM188" s="1672"/>
      <c r="BN188" s="1672"/>
      <c r="BO188" s="1672"/>
      <c r="BP188" s="1672"/>
      <c r="BQ188" s="1672"/>
      <c r="BR188" s="1672"/>
      <c r="BS188" s="1672"/>
      <c r="BT188" s="1672"/>
      <c r="BU188" s="1672"/>
      <c r="BV188" s="1672"/>
      <c r="BW188" s="1672"/>
      <c r="BX188" s="1672"/>
      <c r="BY188" s="1672"/>
      <c r="BZ188" s="1672"/>
      <c r="CA188" s="1672"/>
      <c r="CB188" s="1672"/>
      <c r="CC188" s="1672"/>
      <c r="CD188" s="1672"/>
      <c r="CE188" s="1672"/>
      <c r="CF188" s="1672"/>
      <c r="CG188" s="1672"/>
      <c r="CH188" s="1672"/>
      <c r="CI188" s="1672"/>
      <c r="CJ188" s="1672"/>
      <c r="CK188" s="1672"/>
      <c r="CL188" s="1672"/>
      <c r="CM188" s="1672"/>
      <c r="CN188" s="1672"/>
      <c r="CO188" s="1672"/>
      <c r="CP188" s="1672"/>
    </row>
    <row r="189" spans="2:94" ht="15.5" x14ac:dyDescent="0.3">
      <c r="B189" s="1664"/>
      <c r="C189" s="1665"/>
      <c r="D189" s="1665"/>
      <c r="E189" s="1669"/>
      <c r="F189" s="1669"/>
      <c r="G189" s="1670"/>
      <c r="H189" s="1669"/>
      <c r="I189" s="1671"/>
      <c r="J189" s="1671"/>
      <c r="K189" s="1671"/>
      <c r="L189" s="1671"/>
      <c r="M189" s="1671"/>
      <c r="O189" s="1672"/>
      <c r="P189" s="1672"/>
      <c r="Q189" s="1672"/>
      <c r="R189" s="1672"/>
      <c r="S189" s="1672"/>
      <c r="T189" s="1672"/>
      <c r="U189" s="1672"/>
      <c r="V189" s="1672"/>
      <c r="W189" s="1672"/>
      <c r="X189" s="1672"/>
      <c r="Y189" s="1672"/>
      <c r="Z189" s="1672"/>
      <c r="AA189" s="1672"/>
      <c r="AB189" s="1672"/>
      <c r="AC189" s="1672"/>
      <c r="AD189" s="1672"/>
      <c r="AE189" s="1672"/>
      <c r="AF189" s="1672"/>
      <c r="AG189" s="1672"/>
      <c r="AH189" s="1672"/>
      <c r="AI189" s="1672"/>
      <c r="AJ189" s="1672"/>
      <c r="AK189" s="1672"/>
      <c r="AL189" s="1672"/>
      <c r="AM189" s="1672"/>
      <c r="AN189" s="1672"/>
      <c r="AO189" s="1672"/>
      <c r="AP189" s="1672"/>
      <c r="AQ189" s="1672"/>
      <c r="AR189" s="1672"/>
      <c r="AS189" s="1672"/>
      <c r="AT189" s="1672"/>
      <c r="AU189" s="1672"/>
      <c r="AV189" s="1672"/>
      <c r="AW189" s="1672"/>
      <c r="AX189" s="1672"/>
      <c r="AY189" s="1672"/>
      <c r="AZ189" s="1672"/>
      <c r="BA189" s="1672"/>
      <c r="BB189" s="1672"/>
      <c r="BC189" s="1672"/>
      <c r="BD189" s="1672"/>
      <c r="BE189" s="1672"/>
      <c r="BF189" s="1672"/>
      <c r="BG189" s="1672"/>
      <c r="BH189" s="1672"/>
      <c r="BI189" s="1672"/>
      <c r="BJ189" s="1672"/>
      <c r="BK189" s="1672"/>
      <c r="BL189" s="1672"/>
      <c r="BM189" s="1672"/>
      <c r="BN189" s="1672"/>
      <c r="BO189" s="1672"/>
      <c r="BP189" s="1672"/>
      <c r="BQ189" s="1672"/>
      <c r="BR189" s="1672"/>
      <c r="BS189" s="1672"/>
      <c r="BT189" s="1672"/>
      <c r="BU189" s="1672"/>
      <c r="BV189" s="1672"/>
      <c r="BW189" s="1672"/>
      <c r="BX189" s="1672"/>
      <c r="BY189" s="1672"/>
      <c r="BZ189" s="1672"/>
      <c r="CA189" s="1672"/>
      <c r="CB189" s="1672"/>
      <c r="CC189" s="1672"/>
      <c r="CD189" s="1672"/>
      <c r="CE189" s="1672"/>
      <c r="CF189" s="1672"/>
      <c r="CG189" s="1672"/>
      <c r="CH189" s="1672"/>
      <c r="CI189" s="1672"/>
      <c r="CJ189" s="1672"/>
      <c r="CK189" s="1672"/>
      <c r="CL189" s="1672"/>
      <c r="CM189" s="1672"/>
      <c r="CN189" s="1672"/>
      <c r="CO189" s="1672"/>
      <c r="CP189" s="1672"/>
    </row>
    <row r="191" spans="2:94" ht="30" customHeight="1" thickBot="1" x14ac:dyDescent="0.35"/>
    <row r="192" spans="2:94" ht="14.5" thickBot="1" x14ac:dyDescent="0.35">
      <c r="B192" s="461"/>
      <c r="C192" s="462"/>
      <c r="D192" s="461"/>
      <c r="E192" s="463"/>
    </row>
    <row r="193" spans="2:13" ht="14.5" thickBot="1" x14ac:dyDescent="0.35">
      <c r="B193" s="8"/>
      <c r="C193" s="8"/>
      <c r="D193" s="8"/>
      <c r="E193" s="8"/>
    </row>
    <row r="194" spans="2:13" ht="14.5" thickBot="1" x14ac:dyDescent="0.35">
      <c r="B194" s="1738" t="s">
        <v>1357</v>
      </c>
      <c r="C194" s="1739"/>
      <c r="D194" s="76" t="s">
        <v>855</v>
      </c>
      <c r="E194" s="76" t="s">
        <v>855</v>
      </c>
      <c r="F194" s="1294"/>
      <c r="G194" s="1294"/>
      <c r="H194" s="1294"/>
      <c r="I194" s="1294"/>
      <c r="J194" s="1294"/>
      <c r="K194" s="1294"/>
      <c r="L194" s="1295"/>
      <c r="M194" s="1294"/>
    </row>
    <row r="195" spans="2:13" x14ac:dyDescent="0.3">
      <c r="B195" s="1308" t="s">
        <v>1358</v>
      </c>
      <c r="C195" s="1309"/>
      <c r="D195" s="1310"/>
      <c r="E195" s="1278"/>
      <c r="F195" s="1294"/>
      <c r="G195" s="1294"/>
      <c r="H195" s="1294"/>
      <c r="I195" s="1294"/>
      <c r="J195" s="1294"/>
      <c r="K195" s="1294"/>
      <c r="L195" s="1295"/>
      <c r="M195" s="1294"/>
    </row>
    <row r="196" spans="2:13" x14ac:dyDescent="0.3">
      <c r="B196" s="1305" t="s">
        <v>1359</v>
      </c>
      <c r="C196" s="1294" t="s">
        <v>1360</v>
      </c>
      <c r="D196" s="1307">
        <f>3.5%</f>
        <v>3.5000000000000003E-2</v>
      </c>
      <c r="E196" s="1278"/>
      <c r="F196" s="1294"/>
      <c r="G196" s="1294"/>
      <c r="H196" s="1294"/>
      <c r="I196" s="1294"/>
      <c r="J196" s="1294"/>
      <c r="K196" s="1294"/>
      <c r="L196" s="1295"/>
      <c r="M196" s="1294"/>
    </row>
    <row r="197" spans="2:13" x14ac:dyDescent="0.3">
      <c r="B197" s="1305" t="s">
        <v>1361</v>
      </c>
      <c r="C197" s="1294" t="s">
        <v>1362</v>
      </c>
      <c r="D197" s="1307">
        <v>2.92E-2</v>
      </c>
      <c r="E197" s="1278"/>
      <c r="F197" s="1294"/>
      <c r="G197" s="1294"/>
      <c r="H197" s="1294"/>
      <c r="I197" s="1294"/>
      <c r="J197" s="1294"/>
      <c r="K197" s="1294"/>
      <c r="L197" s="1295"/>
      <c r="M197" s="1294"/>
    </row>
    <row r="198" spans="2:13" x14ac:dyDescent="0.3">
      <c r="B198" s="1305" t="s">
        <v>1363</v>
      </c>
      <c r="C198" s="1294" t="s">
        <v>1364</v>
      </c>
      <c r="D198" s="1306">
        <v>5</v>
      </c>
      <c r="E198" s="1278"/>
      <c r="F198" s="1294"/>
      <c r="G198" s="1294"/>
      <c r="H198" s="1294"/>
      <c r="I198" s="1294"/>
      <c r="J198" s="1294"/>
      <c r="K198" s="1294"/>
      <c r="L198" s="1295"/>
      <c r="M198" s="1294"/>
    </row>
    <row r="199" spans="2:13" x14ac:dyDescent="0.3">
      <c r="B199" s="1305" t="s">
        <v>1365</v>
      </c>
      <c r="C199" s="1294" t="s">
        <v>1366</v>
      </c>
      <c r="D199" s="1348">
        <v>1000</v>
      </c>
      <c r="E199" s="1278"/>
      <c r="F199" s="1294"/>
      <c r="G199" s="1294"/>
      <c r="H199" s="1294"/>
      <c r="I199" s="1294"/>
      <c r="J199" s="1294"/>
      <c r="K199" s="1294"/>
      <c r="L199" s="1295"/>
      <c r="M199" s="1294"/>
    </row>
    <row r="200" spans="2:13" x14ac:dyDescent="0.3">
      <c r="B200" s="1302" t="s">
        <v>1367</v>
      </c>
      <c r="C200" s="1301" t="s">
        <v>1368</v>
      </c>
      <c r="D200" s="1304">
        <f>1/D198</f>
        <v>0.2</v>
      </c>
      <c r="E200" s="1278"/>
      <c r="F200" s="1294"/>
      <c r="G200" s="1294"/>
      <c r="H200" s="1294"/>
      <c r="I200" s="1294"/>
      <c r="J200" s="1294"/>
      <c r="K200" s="1294"/>
      <c r="L200" s="1295"/>
      <c r="M200" s="1294"/>
    </row>
    <row r="201" spans="2:13" x14ac:dyDescent="0.3">
      <c r="B201" s="1295"/>
      <c r="C201" s="1294"/>
      <c r="D201" s="1294"/>
      <c r="E201" s="1294"/>
      <c r="F201" s="1294"/>
      <c r="G201" s="1294"/>
      <c r="H201" s="1294"/>
      <c r="I201" s="1294"/>
      <c r="J201" s="1294"/>
      <c r="K201" s="1294"/>
      <c r="L201" s="1295"/>
      <c r="M201" s="1294"/>
    </row>
    <row r="202" spans="2:13" ht="14.5" thickBot="1" x14ac:dyDescent="0.35">
      <c r="B202" s="1295"/>
      <c r="C202" s="1294"/>
      <c r="D202" s="1294"/>
      <c r="E202" s="1303">
        <v>1</v>
      </c>
      <c r="F202" s="1303">
        <v>2</v>
      </c>
      <c r="G202" s="1303">
        <v>3</v>
      </c>
      <c r="H202" s="1303">
        <v>4</v>
      </c>
      <c r="I202" s="1303">
        <v>5</v>
      </c>
      <c r="K202" s="1294"/>
      <c r="L202" s="1295"/>
      <c r="M202" s="1294"/>
    </row>
    <row r="203" spans="2:13" x14ac:dyDescent="0.3">
      <c r="B203" s="1324"/>
      <c r="C203" s="1325"/>
      <c r="D203" s="1325"/>
      <c r="E203" s="1326" t="s">
        <v>1369</v>
      </c>
      <c r="F203" s="1326" t="s">
        <v>1370</v>
      </c>
      <c r="G203" s="1326" t="s">
        <v>1371</v>
      </c>
      <c r="H203" s="1326" t="s">
        <v>1372</v>
      </c>
      <c r="I203" s="1327" t="s">
        <v>1373</v>
      </c>
      <c r="J203" s="1294"/>
      <c r="K203" s="1753" t="s">
        <v>1374</v>
      </c>
      <c r="L203" s="1754"/>
      <c r="M203" s="1294"/>
    </row>
    <row r="204" spans="2:13" ht="14.5" thickBot="1" x14ac:dyDescent="0.35">
      <c r="B204" s="1328" t="s">
        <v>1375</v>
      </c>
      <c r="C204" s="1321" t="s">
        <v>1321</v>
      </c>
      <c r="D204" s="1321"/>
      <c r="E204" s="1349">
        <f>1/((1+$D$196)^(E202))</f>
        <v>0.96618357487922713</v>
      </c>
      <c r="F204" s="1349">
        <f t="shared" ref="F204:I204" si="1">1/((1+$D$196)^(F202))</f>
        <v>0.93351070036640305</v>
      </c>
      <c r="G204" s="1349">
        <f t="shared" si="1"/>
        <v>0.90194270566802237</v>
      </c>
      <c r="H204" s="1349">
        <f t="shared" si="1"/>
        <v>0.87144222769857238</v>
      </c>
      <c r="I204" s="1349">
        <f t="shared" si="1"/>
        <v>0.84197316685852419</v>
      </c>
      <c r="J204" s="1294"/>
      <c r="K204" s="1755" t="s">
        <v>1376</v>
      </c>
      <c r="L204" s="1756"/>
      <c r="M204" s="1294"/>
    </row>
    <row r="205" spans="2:13" ht="14.5" thickBot="1" x14ac:dyDescent="0.35">
      <c r="B205" s="1295"/>
      <c r="C205" s="1294"/>
      <c r="D205" s="1294"/>
      <c r="E205" s="1294"/>
      <c r="F205" s="1294"/>
      <c r="G205" s="1294"/>
      <c r="H205" s="1294"/>
      <c r="I205" s="1294"/>
      <c r="J205" s="1294"/>
      <c r="K205" s="1411"/>
      <c r="L205" s="1329"/>
      <c r="M205" s="1294"/>
    </row>
    <row r="206" spans="2:13" x14ac:dyDescent="0.3">
      <c r="B206" s="1412" t="s">
        <v>1377</v>
      </c>
      <c r="C206" s="1311"/>
      <c r="D206" s="1311"/>
      <c r="E206" s="1312"/>
      <c r="F206" s="1312"/>
      <c r="G206" s="1312"/>
      <c r="H206" s="1312"/>
      <c r="I206" s="1313"/>
      <c r="J206" s="1294"/>
      <c r="K206" s="1411"/>
      <c r="L206" s="1329"/>
      <c r="M206" s="1294"/>
    </row>
    <row r="207" spans="2:13" x14ac:dyDescent="0.3">
      <c r="B207" s="1314"/>
      <c r="C207" s="1315"/>
      <c r="D207" s="1300" t="s">
        <v>219</v>
      </c>
      <c r="E207" s="1316" t="s">
        <v>1369</v>
      </c>
      <c r="F207" s="1316" t="s">
        <v>1370</v>
      </c>
      <c r="G207" s="1316" t="s">
        <v>1371</v>
      </c>
      <c r="H207" s="1316" t="s">
        <v>1372</v>
      </c>
      <c r="I207" s="1317" t="s">
        <v>1373</v>
      </c>
      <c r="J207" s="1294"/>
      <c r="K207" s="1411"/>
      <c r="L207" s="1329"/>
      <c r="M207" s="1294"/>
    </row>
    <row r="208" spans="2:13" x14ac:dyDescent="0.3">
      <c r="B208" s="1411" t="s">
        <v>1378</v>
      </c>
      <c r="C208" s="1294" t="s">
        <v>1379</v>
      </c>
      <c r="D208" s="1299" t="s">
        <v>1380</v>
      </c>
      <c r="E208" s="1318">
        <f>D199</f>
        <v>1000</v>
      </c>
      <c r="F208" s="1318">
        <f>E210</f>
        <v>800</v>
      </c>
      <c r="G208" s="1318">
        <f>F210</f>
        <v>600</v>
      </c>
      <c r="H208" s="1318">
        <f>G210</f>
        <v>400</v>
      </c>
      <c r="I208" s="1319">
        <f>H210</f>
        <v>200</v>
      </c>
      <c r="J208" s="1294"/>
      <c r="K208" s="1757" t="s">
        <v>1381</v>
      </c>
      <c r="L208" s="1758"/>
      <c r="M208" s="1294"/>
    </row>
    <row r="209" spans="2:13" x14ac:dyDescent="0.3">
      <c r="B209" s="1411" t="s">
        <v>1382</v>
      </c>
      <c r="C209" s="1294" t="s">
        <v>1383</v>
      </c>
      <c r="D209" s="1299" t="s">
        <v>1380</v>
      </c>
      <c r="E209" s="1318">
        <f>$E$208*$D$200</f>
        <v>200</v>
      </c>
      <c r="F209" s="1318">
        <f>$E$208*$D$200</f>
        <v>200</v>
      </c>
      <c r="G209" s="1318">
        <f>$E$208*$D$200</f>
        <v>200</v>
      </c>
      <c r="H209" s="1318">
        <f>$E$208*$D$200</f>
        <v>200</v>
      </c>
      <c r="I209" s="1319">
        <f>$E$208*$D$200</f>
        <v>200</v>
      </c>
      <c r="J209" s="1294"/>
      <c r="K209" s="1759" t="s">
        <v>1384</v>
      </c>
      <c r="L209" s="1760"/>
      <c r="M209" s="1294"/>
    </row>
    <row r="210" spans="2:13" x14ac:dyDescent="0.3">
      <c r="B210" s="1411" t="s">
        <v>1385</v>
      </c>
      <c r="C210" s="1294" t="s">
        <v>1386</v>
      </c>
      <c r="D210" s="1299" t="s">
        <v>1380</v>
      </c>
      <c r="E210" s="1318">
        <f>E208-E209</f>
        <v>800</v>
      </c>
      <c r="F210" s="1318">
        <f>F208-F209</f>
        <v>600</v>
      </c>
      <c r="G210" s="1318">
        <f>G208-G209</f>
        <v>400</v>
      </c>
      <c r="H210" s="1318">
        <f>H208-H209</f>
        <v>200</v>
      </c>
      <c r="I210" s="1319">
        <f>I208-I209</f>
        <v>0</v>
      </c>
      <c r="J210" s="1294"/>
      <c r="K210" s="1734" t="s">
        <v>1387</v>
      </c>
      <c r="L210" s="1735"/>
      <c r="M210" s="1294"/>
    </row>
    <row r="211" spans="2:13" x14ac:dyDescent="0.3">
      <c r="B211" s="1411" t="s">
        <v>1388</v>
      </c>
      <c r="C211" s="1294" t="s">
        <v>1389</v>
      </c>
      <c r="D211" s="1299" t="s">
        <v>1380</v>
      </c>
      <c r="E211" s="1318">
        <f>AVERAGE(E208,E210)</f>
        <v>900</v>
      </c>
      <c r="F211" s="1318">
        <f>AVERAGE(F208,F210)</f>
        <v>700</v>
      </c>
      <c r="G211" s="1318">
        <f>AVERAGE(G208,G210)</f>
        <v>500</v>
      </c>
      <c r="H211" s="1318">
        <f>AVERAGE(H208,H210)</f>
        <v>300</v>
      </c>
      <c r="I211" s="1319">
        <f>AVERAGE(I208,I210)</f>
        <v>100</v>
      </c>
      <c r="J211" s="1294"/>
      <c r="K211" s="1734" t="s">
        <v>1390</v>
      </c>
      <c r="L211" s="1735"/>
      <c r="M211" s="1294"/>
    </row>
    <row r="212" spans="2:13" x14ac:dyDescent="0.3">
      <c r="B212" s="1411" t="s">
        <v>1391</v>
      </c>
      <c r="C212" s="1294" t="s">
        <v>1319</v>
      </c>
      <c r="D212" s="1299" t="s">
        <v>1380</v>
      </c>
      <c r="E212" s="1318">
        <f>(E211*($D$197))+E209</f>
        <v>226.28</v>
      </c>
      <c r="F212" s="1318">
        <f>(F211*($D$197))+F209</f>
        <v>220.44</v>
      </c>
      <c r="G212" s="1318">
        <f>(G211*($D$197))+G209</f>
        <v>214.6</v>
      </c>
      <c r="H212" s="1318">
        <f>(H211*($D$197))+H209</f>
        <v>208.76</v>
      </c>
      <c r="I212" s="1319">
        <f>(I211*($D$197))+I209</f>
        <v>202.92</v>
      </c>
      <c r="J212" s="1294"/>
      <c r="K212" s="1742" t="s">
        <v>1392</v>
      </c>
      <c r="L212" s="1743"/>
      <c r="M212" s="1294"/>
    </row>
    <row r="213" spans="2:13" x14ac:dyDescent="0.3">
      <c r="B213" s="1411" t="s">
        <v>1393</v>
      </c>
      <c r="C213" s="1294" t="s">
        <v>1394</v>
      </c>
      <c r="D213" s="1299" t="s">
        <v>1380</v>
      </c>
      <c r="E213" s="1318">
        <f>E212*E204</f>
        <v>218.62801932367151</v>
      </c>
      <c r="F213" s="1318">
        <f>F212*F204</f>
        <v>205.78309878876988</v>
      </c>
      <c r="G213" s="1318">
        <f>G212*G204</f>
        <v>193.55690463635759</v>
      </c>
      <c r="H213" s="1318">
        <f>H212*H204</f>
        <v>181.92227945435397</v>
      </c>
      <c r="I213" s="1319">
        <f>I212*I204</f>
        <v>170.85319501893173</v>
      </c>
      <c r="J213" s="1294"/>
      <c r="K213" s="1742" t="s">
        <v>1395</v>
      </c>
      <c r="L213" s="1743"/>
      <c r="M213" s="1294"/>
    </row>
    <row r="214" spans="2:13" x14ac:dyDescent="0.3">
      <c r="B214" s="1411"/>
      <c r="C214" s="1294"/>
      <c r="D214" s="1299"/>
      <c r="E214" s="1318"/>
      <c r="F214" s="1318"/>
      <c r="G214" s="1318"/>
      <c r="H214" s="1318"/>
      <c r="I214" s="1319"/>
      <c r="J214" s="1294"/>
      <c r="K214" s="1411"/>
      <c r="L214" s="1329"/>
      <c r="M214" s="1294"/>
    </row>
    <row r="215" spans="2:13" x14ac:dyDescent="0.3">
      <c r="B215" s="1411" t="s">
        <v>1396</v>
      </c>
      <c r="C215" s="1298" t="s">
        <v>1397</v>
      </c>
      <c r="D215" s="1297" t="s">
        <v>1380</v>
      </c>
      <c r="E215" s="1296">
        <f>SUM(E213:I213)</f>
        <v>970.74349722208467</v>
      </c>
      <c r="F215" s="1318"/>
      <c r="G215" s="1318"/>
      <c r="H215" s="1318"/>
      <c r="I215" s="1319"/>
      <c r="J215" s="1294"/>
      <c r="K215" s="1742" t="s">
        <v>1398</v>
      </c>
      <c r="L215" s="1743"/>
      <c r="M215" s="1294"/>
    </row>
    <row r="216" spans="2:13" ht="14.5" thickBot="1" x14ac:dyDescent="0.35">
      <c r="B216" s="1320"/>
      <c r="C216" s="1321"/>
      <c r="D216" s="1322"/>
      <c r="E216" s="1321"/>
      <c r="F216" s="1321"/>
      <c r="G216" s="1321"/>
      <c r="H216" s="1321"/>
      <c r="I216" s="1323"/>
      <c r="J216" s="1294"/>
      <c r="K216" s="1328"/>
      <c r="L216" s="1323"/>
      <c r="M216" s="1294"/>
    </row>
    <row r="217" spans="2:13" x14ac:dyDescent="0.3">
      <c r="B217" s="1295"/>
      <c r="C217" s="1294"/>
      <c r="D217" s="1294"/>
      <c r="E217" s="1294"/>
      <c r="F217" s="1294"/>
      <c r="G217" s="1294"/>
      <c r="H217" s="1294"/>
      <c r="I217" s="1294"/>
      <c r="J217" s="1294"/>
      <c r="K217" s="1295"/>
      <c r="L217" s="1294"/>
      <c r="M217" s="1294"/>
    </row>
    <row r="218" spans="2:13" ht="14.5" thickBot="1" x14ac:dyDescent="0.35">
      <c r="B218" s="1295"/>
      <c r="C218" s="1294"/>
      <c r="D218" s="1294"/>
      <c r="E218" s="1294"/>
      <c r="F218" s="1294"/>
      <c r="G218" s="1294"/>
      <c r="H218" s="1294"/>
      <c r="I218" s="1294"/>
      <c r="J218" s="1294"/>
      <c r="K218" s="1295"/>
      <c r="L218" s="1294"/>
      <c r="M218" s="1294"/>
    </row>
    <row r="219" spans="2:13" x14ac:dyDescent="0.3">
      <c r="B219" s="1744" t="s">
        <v>1399</v>
      </c>
      <c r="C219" s="1745"/>
      <c r="D219" s="1745"/>
      <c r="E219" s="1745"/>
      <c r="F219" s="1745"/>
      <c r="G219" s="1745"/>
      <c r="H219" s="1745"/>
      <c r="I219" s="1746"/>
      <c r="J219" s="1294"/>
      <c r="K219" s="1295"/>
      <c r="L219" s="1294"/>
      <c r="M219" s="1294"/>
    </row>
    <row r="220" spans="2:13" x14ac:dyDescent="0.3">
      <c r="B220" s="1747"/>
      <c r="C220" s="1748"/>
      <c r="D220" s="1748"/>
      <c r="E220" s="1748"/>
      <c r="F220" s="1748"/>
      <c r="G220" s="1748"/>
      <c r="H220" s="1748"/>
      <c r="I220" s="1749"/>
      <c r="K220" s="1294"/>
      <c r="L220" s="1295"/>
      <c r="M220" s="1294"/>
    </row>
    <row r="221" spans="2:13" x14ac:dyDescent="0.3">
      <c r="B221" s="1747"/>
      <c r="C221" s="1748"/>
      <c r="D221" s="1748"/>
      <c r="E221" s="1748"/>
      <c r="F221" s="1748"/>
      <c r="G221" s="1748"/>
      <c r="H221" s="1748"/>
      <c r="I221" s="1749"/>
    </row>
    <row r="222" spans="2:13" x14ac:dyDescent="0.3">
      <c r="B222" s="1747"/>
      <c r="C222" s="1748"/>
      <c r="D222" s="1748"/>
      <c r="E222" s="1748"/>
      <c r="F222" s="1748"/>
      <c r="G222" s="1748"/>
      <c r="H222" s="1748"/>
      <c r="I222" s="1749"/>
    </row>
    <row r="223" spans="2:13" x14ac:dyDescent="0.3">
      <c r="B223" s="1747"/>
      <c r="C223" s="1748"/>
      <c r="D223" s="1748"/>
      <c r="E223" s="1748"/>
      <c r="F223" s="1748"/>
      <c r="G223" s="1748"/>
      <c r="H223" s="1748"/>
      <c r="I223" s="1749"/>
    </row>
    <row r="224" spans="2:13" x14ac:dyDescent="0.3">
      <c r="B224" s="1747"/>
      <c r="C224" s="1748"/>
      <c r="D224" s="1748"/>
      <c r="E224" s="1748"/>
      <c r="F224" s="1748"/>
      <c r="G224" s="1748"/>
      <c r="H224" s="1748"/>
      <c r="I224" s="1749"/>
    </row>
    <row r="225" spans="2:9" x14ac:dyDescent="0.3">
      <c r="B225" s="1747"/>
      <c r="C225" s="1748"/>
      <c r="D225" s="1748"/>
      <c r="E225" s="1748"/>
      <c r="F225" s="1748"/>
      <c r="G225" s="1748"/>
      <c r="H225" s="1748"/>
      <c r="I225" s="1749"/>
    </row>
    <row r="226" spans="2:9" x14ac:dyDescent="0.3">
      <c r="B226" s="1747"/>
      <c r="C226" s="1748"/>
      <c r="D226" s="1748"/>
      <c r="E226" s="1748"/>
      <c r="F226" s="1748"/>
      <c r="G226" s="1748"/>
      <c r="H226" s="1748"/>
      <c r="I226" s="1749"/>
    </row>
    <row r="227" spans="2:9" x14ac:dyDescent="0.3">
      <c r="B227" s="1747"/>
      <c r="C227" s="1748"/>
      <c r="D227" s="1748"/>
      <c r="E227" s="1748"/>
      <c r="F227" s="1748"/>
      <c r="G227" s="1748"/>
      <c r="H227" s="1748"/>
      <c r="I227" s="1749"/>
    </row>
    <row r="228" spans="2:9" x14ac:dyDescent="0.3">
      <c r="B228" s="1747"/>
      <c r="C228" s="1748"/>
      <c r="D228" s="1748"/>
      <c r="E228" s="1748"/>
      <c r="F228" s="1748"/>
      <c r="G228" s="1748"/>
      <c r="H228" s="1748"/>
      <c r="I228" s="1749"/>
    </row>
    <row r="229" spans="2:9" x14ac:dyDescent="0.3">
      <c r="B229" s="1747"/>
      <c r="C229" s="1748"/>
      <c r="D229" s="1748"/>
      <c r="E229" s="1748"/>
      <c r="F229" s="1748"/>
      <c r="G229" s="1748"/>
      <c r="H229" s="1748"/>
      <c r="I229" s="1749"/>
    </row>
    <row r="230" spans="2:9" x14ac:dyDescent="0.3">
      <c r="B230" s="1747"/>
      <c r="C230" s="1748"/>
      <c r="D230" s="1748"/>
      <c r="E230" s="1748"/>
      <c r="F230" s="1748"/>
      <c r="G230" s="1748"/>
      <c r="H230" s="1748"/>
      <c r="I230" s="1749"/>
    </row>
    <row r="231" spans="2:9" x14ac:dyDescent="0.3">
      <c r="B231" s="1747"/>
      <c r="C231" s="1748"/>
      <c r="D231" s="1748"/>
      <c r="E231" s="1748"/>
      <c r="F231" s="1748"/>
      <c r="G231" s="1748"/>
      <c r="H231" s="1748"/>
      <c r="I231" s="1749"/>
    </row>
    <row r="232" spans="2:9" x14ac:dyDescent="0.3">
      <c r="B232" s="1747"/>
      <c r="C232" s="1748"/>
      <c r="D232" s="1748"/>
      <c r="E232" s="1748"/>
      <c r="F232" s="1748"/>
      <c r="G232" s="1748"/>
      <c r="H232" s="1748"/>
      <c r="I232" s="1749"/>
    </row>
    <row r="233" spans="2:9" x14ac:dyDescent="0.3">
      <c r="B233" s="1747"/>
      <c r="C233" s="1748"/>
      <c r="D233" s="1748"/>
      <c r="E233" s="1748"/>
      <c r="F233" s="1748"/>
      <c r="G233" s="1748"/>
      <c r="H233" s="1748"/>
      <c r="I233" s="1749"/>
    </row>
    <row r="234" spans="2:9" x14ac:dyDescent="0.3">
      <c r="B234" s="1747"/>
      <c r="C234" s="1748"/>
      <c r="D234" s="1748"/>
      <c r="E234" s="1748"/>
      <c r="F234" s="1748"/>
      <c r="G234" s="1748"/>
      <c r="H234" s="1748"/>
      <c r="I234" s="1749"/>
    </row>
    <row r="235" spans="2:9" x14ac:dyDescent="0.3">
      <c r="B235" s="1747"/>
      <c r="C235" s="1748"/>
      <c r="D235" s="1748"/>
      <c r="E235" s="1748"/>
      <c r="F235" s="1748"/>
      <c r="G235" s="1748"/>
      <c r="H235" s="1748"/>
      <c r="I235" s="1749"/>
    </row>
    <row r="236" spans="2:9" x14ac:dyDescent="0.3">
      <c r="B236" s="1747"/>
      <c r="C236" s="1748"/>
      <c r="D236" s="1748"/>
      <c r="E236" s="1748"/>
      <c r="F236" s="1748"/>
      <c r="G236" s="1748"/>
      <c r="H236" s="1748"/>
      <c r="I236" s="1749"/>
    </row>
    <row r="237" spans="2:9" x14ac:dyDescent="0.3">
      <c r="B237" s="1747"/>
      <c r="C237" s="1748"/>
      <c r="D237" s="1748"/>
      <c r="E237" s="1748"/>
      <c r="F237" s="1748"/>
      <c r="G237" s="1748"/>
      <c r="H237" s="1748"/>
      <c r="I237" s="1749"/>
    </row>
    <row r="238" spans="2:9" x14ac:dyDescent="0.3">
      <c r="B238" s="1747"/>
      <c r="C238" s="1748"/>
      <c r="D238" s="1748"/>
      <c r="E238" s="1748"/>
      <c r="F238" s="1748"/>
      <c r="G238" s="1748"/>
      <c r="H238" s="1748"/>
      <c r="I238" s="1749"/>
    </row>
    <row r="239" spans="2:9" x14ac:dyDescent="0.3">
      <c r="B239" s="1747"/>
      <c r="C239" s="1748"/>
      <c r="D239" s="1748"/>
      <c r="E239" s="1748"/>
      <c r="F239" s="1748"/>
      <c r="G239" s="1748"/>
      <c r="H239" s="1748"/>
      <c r="I239" s="1749"/>
    </row>
    <row r="240" spans="2:9" x14ac:dyDescent="0.3">
      <c r="B240" s="1747"/>
      <c r="C240" s="1748"/>
      <c r="D240" s="1748"/>
      <c r="E240" s="1748"/>
      <c r="F240" s="1748"/>
      <c r="G240" s="1748"/>
      <c r="H240" s="1748"/>
      <c r="I240" s="1749"/>
    </row>
    <row r="241" spans="2:9" x14ac:dyDescent="0.3">
      <c r="B241" s="1747"/>
      <c r="C241" s="1748"/>
      <c r="D241" s="1748"/>
      <c r="E241" s="1748"/>
      <c r="F241" s="1748"/>
      <c r="G241" s="1748"/>
      <c r="H241" s="1748"/>
      <c r="I241" s="1749"/>
    </row>
    <row r="242" spans="2:9" x14ac:dyDescent="0.3">
      <c r="B242" s="1747"/>
      <c r="C242" s="1748"/>
      <c r="D242" s="1748"/>
      <c r="E242" s="1748"/>
      <c r="F242" s="1748"/>
      <c r="G242" s="1748"/>
      <c r="H242" s="1748"/>
      <c r="I242" s="1749"/>
    </row>
    <row r="243" spans="2:9" ht="14.5" thickBot="1" x14ac:dyDescent="0.35">
      <c r="B243" s="1750"/>
      <c r="C243" s="1751"/>
      <c r="D243" s="1751"/>
      <c r="E243" s="1751"/>
      <c r="F243" s="1751"/>
      <c r="G243" s="1751"/>
      <c r="H243" s="1751"/>
      <c r="I243" s="1752"/>
    </row>
  </sheetData>
  <mergeCells count="45">
    <mergeCell ref="B61:B69"/>
    <mergeCell ref="I69:M69"/>
    <mergeCell ref="B70:B78"/>
    <mergeCell ref="I78:M78"/>
    <mergeCell ref="B79:B87"/>
    <mergeCell ref="I87:M87"/>
    <mergeCell ref="B34:B42"/>
    <mergeCell ref="I42:M42"/>
    <mergeCell ref="B43:B51"/>
    <mergeCell ref="I51:M51"/>
    <mergeCell ref="B52:B60"/>
    <mergeCell ref="I60:M60"/>
    <mergeCell ref="B5:C5"/>
    <mergeCell ref="B16:B24"/>
    <mergeCell ref="I24:M24"/>
    <mergeCell ref="B25:B33"/>
    <mergeCell ref="I33:M33"/>
    <mergeCell ref="I15:M15"/>
    <mergeCell ref="B7:B15"/>
    <mergeCell ref="B88:B96"/>
    <mergeCell ref="I96:M96"/>
    <mergeCell ref="B97:B105"/>
    <mergeCell ref="I105:M105"/>
    <mergeCell ref="B106:B114"/>
    <mergeCell ref="I114:M114"/>
    <mergeCell ref="K215:L215"/>
    <mergeCell ref="B219:I243"/>
    <mergeCell ref="K203:L203"/>
    <mergeCell ref="K204:L204"/>
    <mergeCell ref="K208:L208"/>
    <mergeCell ref="K209:L209"/>
    <mergeCell ref="K210:L210"/>
    <mergeCell ref="K212:L212"/>
    <mergeCell ref="K213:L213"/>
    <mergeCell ref="B115:B123"/>
    <mergeCell ref="I123:M123"/>
    <mergeCell ref="B124:B132"/>
    <mergeCell ref="I132:M132"/>
    <mergeCell ref="K211:L211"/>
    <mergeCell ref="B134:C134"/>
    <mergeCell ref="B136:B140"/>
    <mergeCell ref="B141:B145"/>
    <mergeCell ref="B146:B150"/>
    <mergeCell ref="B194:C194"/>
    <mergeCell ref="B151:B185"/>
  </mergeCells>
  <phoneticPr fontId="38" type="noConversion"/>
  <conditionalFormatting sqref="C151:CP185">
    <cfRule type="expression" dxfId="0" priority="1">
      <formula>$C151=""</formula>
    </cfRule>
  </conditionalFormatting>
  <dataValidations count="4">
    <dataValidation type="list" allowBlank="1" showInputMessage="1" showErrorMessage="1" sqref="E12:E13 E133:E134 E111:E112 E102:E103 E93:E94 E84:E85 E75:E76 E66:E67 E57:E58 E48:E49 E39:E40 E30:E31 E21:E22 E129:E130 E186:E189 E136:E152 E120:E121" xr:uid="{00000000-0002-0000-0600-000000000000}">
      <formula1>Variables</formula1>
    </dataValidation>
    <dataValidation type="list" allowBlank="1" showInputMessage="1" showErrorMessage="1" sqref="H133:H134 H111:H112 H102:H103 H93:H94 H84:H85 H75:H76 H66:H67 H57:H58 H48:H49 H39:H40 H30:H31 H21:H22 H12:H13 H141:H142 H136:H137 H146:H147 H129:H130 H151:H152 H120:H121" xr:uid="{00000000-0002-0000-0600-000001000000}">
      <formula1>"Fixed,Variable"</formula1>
    </dataValidation>
    <dataValidation type="list" allowBlank="1" showInputMessage="1" showErrorMessage="1" sqref="F146:G147 F141:G142 F136:G137" xr:uid="{00000000-0002-0000-0600-000002000000}">
      <formula1>INDIRECT(IFERROR(RIGHT(#REF!,LEN(#REF!)-FIND(" ",#REF!)),#REF!)&amp;"Subs")</formula1>
    </dataValidation>
    <dataValidation type="list" allowBlank="1" showInputMessage="1" showErrorMessage="1" sqref="F151:G152" xr:uid="{C6E24289-F291-4BC4-B241-82631A94DEDF}">
      <formula1>INDIRECT(IFERROR(RIGHT(#REF!,LEN(#REF!)-FIND(" ",#REF!)),#REF!)&amp;"Subs")</formula1>
    </dataValidation>
  </dataValidations>
  <hyperlinks>
    <hyperlink ref="G3" location="'TITLE PAGE'!A1" display="Back to title page"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1:AK30"/>
  <sheetViews>
    <sheetView zoomScale="80" zoomScaleNormal="80" workbookViewId="0">
      <selection activeCell="C7" sqref="C7"/>
    </sheetView>
  </sheetViews>
  <sheetFormatPr defaultColWidth="8.84375" defaultRowHeight="14" x14ac:dyDescent="0.35"/>
  <cols>
    <col min="1" max="1" width="3.53515625" style="8" customWidth="1"/>
    <col min="2" max="2" width="16.84375" style="8" bestFit="1" customWidth="1"/>
    <col min="3" max="3" width="27" style="8" customWidth="1"/>
    <col min="4" max="4" width="16.53515625" style="8" customWidth="1"/>
    <col min="5" max="5" width="8.84375" style="8"/>
    <col min="6" max="6" width="17.53515625" style="8" customWidth="1"/>
    <col min="7" max="7" width="11" style="8" customWidth="1"/>
    <col min="8" max="8" width="11.84375" style="8" customWidth="1"/>
    <col min="9" max="9" width="8.84375" style="8"/>
    <col min="10" max="10" width="8.15234375" style="8" customWidth="1"/>
    <col min="11" max="11" width="7.53515625" style="8" customWidth="1"/>
    <col min="12" max="12" width="7.15234375" style="8" customWidth="1"/>
    <col min="13" max="13" width="7.4609375" style="8" customWidth="1"/>
    <col min="14" max="15" width="8.84375" style="8" customWidth="1"/>
    <col min="16" max="16384" width="8.84375" style="8"/>
  </cols>
  <sheetData>
    <row r="1" spans="2:37" ht="14.5" thickBot="1" x14ac:dyDescent="0.4"/>
    <row r="2" spans="2:37" ht="15" customHeight="1" thickBot="1" x14ac:dyDescent="0.4">
      <c r="B2" s="1243" t="s">
        <v>59</v>
      </c>
    </row>
    <row r="3" spans="2:37" ht="15" customHeight="1" x14ac:dyDescent="0.35"/>
    <row r="4" spans="2:37" ht="14.5" thickBot="1" x14ac:dyDescent="0.4"/>
    <row r="5" spans="2:37" ht="35.15" customHeight="1" thickBot="1" x14ac:dyDescent="0.4">
      <c r="B5" s="461" t="s">
        <v>60</v>
      </c>
      <c r="C5" s="462" t="str">
        <f>'TITLE PAGE'!$D$18</f>
        <v>Cambridge Water</v>
      </c>
      <c r="D5" s="465" t="s">
        <v>2</v>
      </c>
    </row>
    <row r="6" spans="2:37" ht="15" customHeight="1" thickBot="1" x14ac:dyDescent="0.4">
      <c r="B6" s="82" t="s">
        <v>213</v>
      </c>
      <c r="C6" s="70" t="s">
        <v>85</v>
      </c>
      <c r="D6" s="83">
        <v>3</v>
      </c>
      <c r="F6" s="73"/>
      <c r="G6" s="73"/>
    </row>
    <row r="7" spans="2:37" ht="15" customHeight="1" thickBot="1" x14ac:dyDescent="0.4">
      <c r="B7" s="84"/>
      <c r="C7" s="84"/>
      <c r="D7" s="1"/>
      <c r="E7" s="1"/>
      <c r="F7" s="1"/>
      <c r="G7" s="73"/>
      <c r="H7" s="73"/>
    </row>
    <row r="8" spans="2:37" ht="40.25" customHeight="1" thickBot="1" x14ac:dyDescent="0.4">
      <c r="B8" s="206" t="s">
        <v>1400</v>
      </c>
      <c r="C8" s="85"/>
      <c r="D8" s="74"/>
      <c r="E8" s="74"/>
      <c r="F8" s="74"/>
      <c r="G8" s="73"/>
      <c r="H8" s="73"/>
      <c r="I8" s="73"/>
      <c r="J8" s="1761" t="s">
        <v>1401</v>
      </c>
      <c r="K8" s="1762"/>
      <c r="L8" s="1762"/>
      <c r="M8" s="1762"/>
      <c r="N8" s="1762"/>
      <c r="O8" s="1762"/>
      <c r="P8" s="1762"/>
      <c r="Q8" s="1761" t="s">
        <v>1402</v>
      </c>
      <c r="R8" s="1762"/>
      <c r="S8" s="1762"/>
      <c r="T8" s="1762"/>
      <c r="U8" s="1762"/>
      <c r="V8" s="1762"/>
      <c r="W8" s="1762"/>
      <c r="X8" s="1761" t="s">
        <v>1403</v>
      </c>
      <c r="Y8" s="1762"/>
      <c r="Z8" s="1762"/>
      <c r="AA8" s="1762"/>
      <c r="AB8" s="1762"/>
      <c r="AC8" s="1762"/>
      <c r="AD8" s="1762"/>
      <c r="AE8" s="1761" t="s">
        <v>1404</v>
      </c>
      <c r="AF8" s="1762"/>
      <c r="AG8" s="1762"/>
      <c r="AH8" s="1762"/>
      <c r="AI8" s="1762"/>
      <c r="AJ8" s="1762"/>
      <c r="AK8" s="1763"/>
    </row>
    <row r="9" spans="2:37" ht="44.25" customHeight="1" thickBot="1" x14ac:dyDescent="0.4">
      <c r="B9" s="86" t="s">
        <v>1405</v>
      </c>
      <c r="C9" s="87" t="s">
        <v>1406</v>
      </c>
      <c r="D9" s="87" t="s">
        <v>1407</v>
      </c>
      <c r="E9" s="87" t="s">
        <v>1408</v>
      </c>
      <c r="F9" s="87" t="s">
        <v>1409</v>
      </c>
      <c r="G9" s="87" t="s">
        <v>1410</v>
      </c>
      <c r="H9" s="87" t="s">
        <v>219</v>
      </c>
      <c r="I9" s="101" t="s">
        <v>220</v>
      </c>
      <c r="J9" s="216" t="s">
        <v>1411</v>
      </c>
      <c r="K9" s="210" t="s">
        <v>226</v>
      </c>
      <c r="L9" s="261" t="s">
        <v>231</v>
      </c>
      <c r="M9" s="210" t="s">
        <v>236</v>
      </c>
      <c r="N9" s="210" t="s">
        <v>241</v>
      </c>
      <c r="O9" s="214" t="s">
        <v>246</v>
      </c>
      <c r="P9" s="454" t="s">
        <v>251</v>
      </c>
      <c r="Q9" s="90" t="s">
        <v>1412</v>
      </c>
      <c r="R9" s="88" t="s">
        <v>226</v>
      </c>
      <c r="S9" s="88" t="s">
        <v>231</v>
      </c>
      <c r="T9" s="88" t="s">
        <v>236</v>
      </c>
      <c r="U9" s="88" t="s">
        <v>241</v>
      </c>
      <c r="V9" s="89" t="s">
        <v>246</v>
      </c>
      <c r="W9" s="429" t="s">
        <v>251</v>
      </c>
      <c r="X9" s="90" t="s">
        <v>1412</v>
      </c>
      <c r="Y9" s="88" t="s">
        <v>226</v>
      </c>
      <c r="Z9" s="88" t="s">
        <v>231</v>
      </c>
      <c r="AA9" s="88" t="s">
        <v>236</v>
      </c>
      <c r="AB9" s="88" t="s">
        <v>241</v>
      </c>
      <c r="AC9" s="89" t="s">
        <v>246</v>
      </c>
      <c r="AD9" s="429" t="s">
        <v>251</v>
      </c>
      <c r="AE9" s="90" t="s">
        <v>1413</v>
      </c>
      <c r="AF9" s="88" t="s">
        <v>226</v>
      </c>
      <c r="AG9" s="88" t="s">
        <v>231</v>
      </c>
      <c r="AH9" s="88" t="s">
        <v>236</v>
      </c>
      <c r="AI9" s="88" t="s">
        <v>241</v>
      </c>
      <c r="AJ9" s="89" t="s">
        <v>246</v>
      </c>
      <c r="AK9" s="430" t="s">
        <v>251</v>
      </c>
    </row>
    <row r="10" spans="2:37" ht="56" x14ac:dyDescent="0.35">
      <c r="B10" s="91" t="s">
        <v>1414</v>
      </c>
      <c r="C10" s="92" t="s">
        <v>1415</v>
      </c>
      <c r="D10" s="1589" t="s">
        <v>2159</v>
      </c>
      <c r="E10" s="93" t="s">
        <v>1416</v>
      </c>
      <c r="F10" s="1589" t="s">
        <v>2155</v>
      </c>
      <c r="G10" s="1589" t="s">
        <v>853</v>
      </c>
      <c r="H10" s="93" t="s">
        <v>305</v>
      </c>
      <c r="I10" s="294">
        <v>2</v>
      </c>
      <c r="J10" s="452"/>
      <c r="K10" s="453">
        <v>3</v>
      </c>
      <c r="L10" s="453">
        <v>3</v>
      </c>
      <c r="M10" s="453">
        <v>3</v>
      </c>
      <c r="N10" s="453">
        <v>3</v>
      </c>
      <c r="O10" s="453">
        <v>3</v>
      </c>
      <c r="P10" s="453">
        <v>3</v>
      </c>
      <c r="Q10" s="442"/>
      <c r="R10" s="353">
        <v>3</v>
      </c>
      <c r="S10" s="353">
        <v>3</v>
      </c>
      <c r="T10" s="353">
        <v>3</v>
      </c>
      <c r="U10" s="353">
        <v>3</v>
      </c>
      <c r="V10" s="354">
        <v>3</v>
      </c>
      <c r="W10" s="354">
        <v>3</v>
      </c>
      <c r="X10" s="442"/>
      <c r="Y10" s="353">
        <v>3</v>
      </c>
      <c r="Z10" s="353">
        <v>3</v>
      </c>
      <c r="AA10" s="353">
        <v>3</v>
      </c>
      <c r="AB10" s="353">
        <v>3</v>
      </c>
      <c r="AC10" s="354">
        <v>3</v>
      </c>
      <c r="AD10" s="354">
        <v>3</v>
      </c>
      <c r="AE10" s="352"/>
      <c r="AF10" s="353"/>
      <c r="AG10" s="353"/>
      <c r="AH10" s="353"/>
      <c r="AI10" s="353"/>
      <c r="AJ10" s="354"/>
      <c r="AK10" s="232"/>
    </row>
    <row r="11" spans="2:37" ht="42" x14ac:dyDescent="0.35">
      <c r="B11" s="94" t="s">
        <v>1418</v>
      </c>
      <c r="C11" s="92" t="s">
        <v>1419</v>
      </c>
      <c r="D11" s="92" t="s">
        <v>1420</v>
      </c>
      <c r="E11" s="93" t="s">
        <v>1421</v>
      </c>
      <c r="F11" s="92" t="s">
        <v>1417</v>
      </c>
      <c r="G11" s="92"/>
      <c r="H11" s="93" t="s">
        <v>305</v>
      </c>
      <c r="I11" s="294">
        <v>2</v>
      </c>
      <c r="J11" s="443"/>
      <c r="K11" s="350"/>
      <c r="L11" s="350"/>
      <c r="M11" s="350"/>
      <c r="N11" s="350"/>
      <c r="O11" s="350"/>
      <c r="P11" s="351"/>
      <c r="Q11" s="443"/>
      <c r="R11" s="350"/>
      <c r="S11" s="350"/>
      <c r="T11" s="350"/>
      <c r="U11" s="350"/>
      <c r="V11" s="351"/>
      <c r="W11" s="351"/>
      <c r="X11" s="443"/>
      <c r="Y11" s="350"/>
      <c r="Z11" s="350"/>
      <c r="AA11" s="350"/>
      <c r="AB11" s="350"/>
      <c r="AC11" s="351"/>
      <c r="AD11" s="351"/>
      <c r="AE11" s="349"/>
      <c r="AF11" s="350"/>
      <c r="AG11" s="350"/>
      <c r="AH11" s="350"/>
      <c r="AI11" s="350"/>
      <c r="AJ11" s="351"/>
      <c r="AK11" s="233"/>
    </row>
    <row r="12" spans="2:37" ht="42" x14ac:dyDescent="0.35">
      <c r="B12" s="95" t="s">
        <v>1422</v>
      </c>
      <c r="C12" s="92" t="s">
        <v>1423</v>
      </c>
      <c r="D12" s="92" t="s">
        <v>1424</v>
      </c>
      <c r="E12" s="93"/>
      <c r="F12" s="92" t="s">
        <v>1417</v>
      </c>
      <c r="G12" s="92"/>
      <c r="H12" s="93"/>
      <c r="I12" s="294">
        <v>2</v>
      </c>
      <c r="J12" s="443"/>
      <c r="K12" s="350"/>
      <c r="L12" s="350"/>
      <c r="M12" s="350"/>
      <c r="N12" s="350"/>
      <c r="O12" s="350"/>
      <c r="P12" s="351"/>
      <c r="Q12" s="443"/>
      <c r="R12" s="350"/>
      <c r="S12" s="350"/>
      <c r="T12" s="350"/>
      <c r="U12" s="350"/>
      <c r="V12" s="351"/>
      <c r="W12" s="351"/>
      <c r="X12" s="443"/>
      <c r="Y12" s="350"/>
      <c r="Z12" s="350"/>
      <c r="AA12" s="350"/>
      <c r="AB12" s="350"/>
      <c r="AC12" s="351"/>
      <c r="AD12" s="351"/>
      <c r="AE12" s="349"/>
      <c r="AF12" s="350"/>
      <c r="AG12" s="350"/>
      <c r="AH12" s="350"/>
      <c r="AI12" s="350"/>
      <c r="AJ12" s="351"/>
      <c r="AK12" s="233"/>
    </row>
    <row r="13" spans="2:37" ht="56" x14ac:dyDescent="0.35">
      <c r="B13" s="94" t="s">
        <v>1425</v>
      </c>
      <c r="C13" s="92" t="s">
        <v>1426</v>
      </c>
      <c r="D13" s="92" t="s">
        <v>2158</v>
      </c>
      <c r="E13" s="93" t="s">
        <v>1416</v>
      </c>
      <c r="F13" s="1589" t="s">
        <v>2156</v>
      </c>
      <c r="G13" s="92" t="s">
        <v>853</v>
      </c>
      <c r="H13" s="93" t="s">
        <v>305</v>
      </c>
      <c r="I13" s="294">
        <v>2</v>
      </c>
      <c r="J13" s="443"/>
      <c r="K13" s="350">
        <v>5</v>
      </c>
      <c r="L13" s="350">
        <v>5</v>
      </c>
      <c r="M13" s="350">
        <v>5</v>
      </c>
      <c r="N13" s="350">
        <v>5</v>
      </c>
      <c r="O13" s="350">
        <v>5</v>
      </c>
      <c r="P13" s="350">
        <v>5</v>
      </c>
      <c r="Q13" s="443"/>
      <c r="R13" s="350">
        <v>5</v>
      </c>
      <c r="S13" s="350">
        <v>5</v>
      </c>
      <c r="T13" s="350">
        <v>5</v>
      </c>
      <c r="U13" s="350">
        <v>5</v>
      </c>
      <c r="V13" s="350">
        <v>5</v>
      </c>
      <c r="W13" s="350">
        <v>5</v>
      </c>
      <c r="X13" s="443"/>
      <c r="Y13" s="350">
        <v>4</v>
      </c>
      <c r="Z13" s="350">
        <v>4</v>
      </c>
      <c r="AA13" s="350">
        <v>4</v>
      </c>
      <c r="AB13" s="350">
        <v>4</v>
      </c>
      <c r="AC13" s="351">
        <v>4</v>
      </c>
      <c r="AD13" s="351">
        <v>4</v>
      </c>
      <c r="AE13" s="349"/>
      <c r="AF13" s="350"/>
      <c r="AG13" s="350"/>
      <c r="AH13" s="350"/>
      <c r="AI13" s="350"/>
      <c r="AJ13" s="351"/>
      <c r="AK13" s="233"/>
    </row>
    <row r="14" spans="2:37" ht="84" x14ac:dyDescent="0.35">
      <c r="B14" s="94" t="s">
        <v>1427</v>
      </c>
      <c r="C14" s="92" t="s">
        <v>1428</v>
      </c>
      <c r="D14" s="92" t="s">
        <v>1429</v>
      </c>
      <c r="E14" s="93" t="s">
        <v>1421</v>
      </c>
      <c r="F14" s="92" t="s">
        <v>1417</v>
      </c>
      <c r="G14" s="92"/>
      <c r="H14" s="93" t="s">
        <v>305</v>
      </c>
      <c r="I14" s="294">
        <v>2</v>
      </c>
      <c r="J14" s="443"/>
      <c r="K14" s="350"/>
      <c r="L14" s="350"/>
      <c r="M14" s="350"/>
      <c r="N14" s="350"/>
      <c r="O14" s="350"/>
      <c r="P14" s="351"/>
      <c r="Q14" s="443"/>
      <c r="R14" s="350"/>
      <c r="S14" s="350"/>
      <c r="T14" s="350"/>
      <c r="U14" s="350"/>
      <c r="V14" s="351"/>
      <c r="W14" s="351"/>
      <c r="X14" s="443"/>
      <c r="Y14" s="350"/>
      <c r="Z14" s="350"/>
      <c r="AA14" s="350"/>
      <c r="AB14" s="350"/>
      <c r="AC14" s="351"/>
      <c r="AD14" s="351"/>
      <c r="AE14" s="349"/>
      <c r="AF14" s="350"/>
      <c r="AG14" s="350"/>
      <c r="AH14" s="350"/>
      <c r="AI14" s="350"/>
      <c r="AJ14" s="351"/>
      <c r="AK14" s="233"/>
    </row>
    <row r="15" spans="2:37" ht="42" x14ac:dyDescent="0.35">
      <c r="B15" s="94" t="s">
        <v>1430</v>
      </c>
      <c r="C15" s="92" t="s">
        <v>1431</v>
      </c>
      <c r="D15" s="92" t="s">
        <v>1432</v>
      </c>
      <c r="E15" s="93"/>
      <c r="F15" s="92" t="s">
        <v>1417</v>
      </c>
      <c r="G15" s="92"/>
      <c r="H15" s="93"/>
      <c r="I15" s="294">
        <v>2</v>
      </c>
      <c r="J15" s="443"/>
      <c r="K15" s="350"/>
      <c r="L15" s="350"/>
      <c r="M15" s="350"/>
      <c r="N15" s="350"/>
      <c r="O15" s="350"/>
      <c r="P15" s="351"/>
      <c r="Q15" s="443"/>
      <c r="R15" s="350"/>
      <c r="S15" s="350"/>
      <c r="T15" s="350"/>
      <c r="U15" s="350"/>
      <c r="V15" s="351"/>
      <c r="W15" s="351"/>
      <c r="X15" s="443"/>
      <c r="Y15" s="350"/>
      <c r="Z15" s="350"/>
      <c r="AA15" s="350"/>
      <c r="AB15" s="350"/>
      <c r="AC15" s="351"/>
      <c r="AD15" s="351"/>
      <c r="AE15" s="349"/>
      <c r="AF15" s="350"/>
      <c r="AG15" s="350"/>
      <c r="AH15" s="350"/>
      <c r="AI15" s="350"/>
      <c r="AJ15" s="351"/>
      <c r="AK15" s="233"/>
    </row>
    <row r="16" spans="2:37" ht="56" x14ac:dyDescent="0.35">
      <c r="B16" s="94" t="s">
        <v>1433</v>
      </c>
      <c r="C16" s="92" t="s">
        <v>1434</v>
      </c>
      <c r="D16" s="92" t="s">
        <v>2157</v>
      </c>
      <c r="E16" s="93" t="s">
        <v>1416</v>
      </c>
      <c r="F16" s="1589" t="s">
        <v>2156</v>
      </c>
      <c r="G16" s="92" t="s">
        <v>852</v>
      </c>
      <c r="H16" s="93" t="s">
        <v>305</v>
      </c>
      <c r="I16" s="294">
        <v>2</v>
      </c>
      <c r="J16" s="443"/>
      <c r="K16" s="350">
        <v>2</v>
      </c>
      <c r="L16" s="350">
        <v>2</v>
      </c>
      <c r="M16" s="350">
        <v>2</v>
      </c>
      <c r="N16" s="350">
        <v>2</v>
      </c>
      <c r="O16" s="350">
        <v>2</v>
      </c>
      <c r="P16" s="351">
        <v>2</v>
      </c>
      <c r="Q16" s="443"/>
      <c r="R16" s="350">
        <v>2</v>
      </c>
      <c r="S16" s="350">
        <v>2</v>
      </c>
      <c r="T16" s="350">
        <v>2</v>
      </c>
      <c r="U16" s="350">
        <v>2</v>
      </c>
      <c r="V16" s="351">
        <v>2</v>
      </c>
      <c r="W16" s="351">
        <v>2</v>
      </c>
      <c r="X16" s="443"/>
      <c r="Y16" s="350">
        <v>2</v>
      </c>
      <c r="Z16" s="350">
        <v>2</v>
      </c>
      <c r="AA16" s="350">
        <v>2</v>
      </c>
      <c r="AB16" s="350">
        <v>2</v>
      </c>
      <c r="AC16" s="350">
        <v>2</v>
      </c>
      <c r="AD16" s="350">
        <v>2</v>
      </c>
      <c r="AE16" s="349"/>
      <c r="AF16" s="350"/>
      <c r="AG16" s="350"/>
      <c r="AH16" s="350"/>
      <c r="AI16" s="350"/>
      <c r="AJ16" s="351"/>
      <c r="AK16" s="233"/>
    </row>
    <row r="17" spans="2:37" ht="84" x14ac:dyDescent="0.35">
      <c r="B17" s="94" t="s">
        <v>1435</v>
      </c>
      <c r="C17" s="92" t="s">
        <v>1436</v>
      </c>
      <c r="D17" s="92" t="s">
        <v>1437</v>
      </c>
      <c r="E17" s="93" t="s">
        <v>1421</v>
      </c>
      <c r="F17" s="92" t="s">
        <v>1417</v>
      </c>
      <c r="G17" s="92"/>
      <c r="H17" s="93" t="s">
        <v>305</v>
      </c>
      <c r="I17" s="294">
        <v>2</v>
      </c>
      <c r="J17" s="444"/>
      <c r="K17" s="350"/>
      <c r="L17" s="350"/>
      <c r="M17" s="350"/>
      <c r="N17" s="350"/>
      <c r="O17" s="350"/>
      <c r="P17" s="351"/>
      <c r="Q17" s="443"/>
      <c r="R17" s="350"/>
      <c r="S17" s="350"/>
      <c r="T17" s="350"/>
      <c r="U17" s="350"/>
      <c r="V17" s="351"/>
      <c r="W17" s="351"/>
      <c r="X17" s="443"/>
      <c r="Y17" s="350"/>
      <c r="Z17" s="350"/>
      <c r="AA17" s="350"/>
      <c r="AB17" s="350"/>
      <c r="AC17" s="351"/>
      <c r="AD17" s="351"/>
      <c r="AE17" s="349"/>
      <c r="AF17" s="350"/>
      <c r="AG17" s="350"/>
      <c r="AH17" s="350"/>
      <c r="AI17" s="350"/>
      <c r="AJ17" s="351"/>
      <c r="AK17" s="233"/>
    </row>
    <row r="18" spans="2:37" ht="42" x14ac:dyDescent="0.35">
      <c r="B18" s="94" t="s">
        <v>1438</v>
      </c>
      <c r="C18" s="92" t="s">
        <v>1439</v>
      </c>
      <c r="D18" s="92" t="s">
        <v>1440</v>
      </c>
      <c r="E18" s="93"/>
      <c r="F18" s="92" t="s">
        <v>1417</v>
      </c>
      <c r="G18" s="92"/>
      <c r="H18" s="93"/>
      <c r="I18" s="294">
        <v>2</v>
      </c>
      <c r="J18" s="443"/>
      <c r="K18" s="350"/>
      <c r="L18" s="350"/>
      <c r="M18" s="350"/>
      <c r="N18" s="350"/>
      <c r="O18" s="350"/>
      <c r="P18" s="351"/>
      <c r="Q18" s="443"/>
      <c r="R18" s="350"/>
      <c r="S18" s="350"/>
      <c r="T18" s="350"/>
      <c r="U18" s="350"/>
      <c r="V18" s="351"/>
      <c r="W18" s="351"/>
      <c r="X18" s="443"/>
      <c r="Y18" s="350"/>
      <c r="Z18" s="350"/>
      <c r="AA18" s="350"/>
      <c r="AB18" s="350"/>
      <c r="AC18" s="351"/>
      <c r="AD18" s="351"/>
      <c r="AE18" s="349"/>
      <c r="AF18" s="350"/>
      <c r="AG18" s="350"/>
      <c r="AH18" s="350"/>
      <c r="AI18" s="350"/>
      <c r="AJ18" s="351"/>
      <c r="AK18" s="233"/>
    </row>
    <row r="19" spans="2:37" ht="70" x14ac:dyDescent="0.35">
      <c r="B19" s="96" t="s">
        <v>1441</v>
      </c>
      <c r="C19" s="97" t="s">
        <v>1442</v>
      </c>
      <c r="D19" s="98" t="s">
        <v>1443</v>
      </c>
      <c r="E19" s="99"/>
      <c r="F19" s="100"/>
      <c r="G19" s="100"/>
      <c r="H19" s="100" t="s">
        <v>305</v>
      </c>
      <c r="I19" s="295">
        <v>2</v>
      </c>
      <c r="J19" s="355">
        <f>SUM($J10:$J18)</f>
        <v>0</v>
      </c>
      <c r="K19" s="356">
        <f>SUM($K10:$K18)</f>
        <v>10</v>
      </c>
      <c r="L19" s="356">
        <f>SUM($L10:$L18)</f>
        <v>10</v>
      </c>
      <c r="M19" s="356">
        <f>SUM($M10:$M18)</f>
        <v>10</v>
      </c>
      <c r="N19" s="356">
        <f>SUM($N10:$N18)</f>
        <v>10</v>
      </c>
      <c r="O19" s="356">
        <f>SUM($O10:$O18)</f>
        <v>10</v>
      </c>
      <c r="P19" s="357">
        <f>SUM($P10:$P18)</f>
        <v>10</v>
      </c>
      <c r="Q19" s="358">
        <f>SUM($Q10:$Q18)</f>
        <v>0</v>
      </c>
      <c r="R19" s="359">
        <f>SUM($R10:$R18)</f>
        <v>10</v>
      </c>
      <c r="S19" s="359">
        <f>SUM($S10:$S18)</f>
        <v>10</v>
      </c>
      <c r="T19" s="359">
        <f>SUM($T10:$T18)</f>
        <v>10</v>
      </c>
      <c r="U19" s="359">
        <f>SUM($U10:$U18)</f>
        <v>10</v>
      </c>
      <c r="V19" s="360">
        <f>SUM($V10:$V18)</f>
        <v>10</v>
      </c>
      <c r="W19" s="359">
        <f>SUM($W10:$W18)</f>
        <v>10</v>
      </c>
      <c r="X19" s="361">
        <f>SUM($X10:$X18)</f>
        <v>0</v>
      </c>
      <c r="Y19" s="359">
        <f>SUM($Y10:$Y18)</f>
        <v>9</v>
      </c>
      <c r="Z19" s="359">
        <f>SUM($Z10:$Z18)</f>
        <v>9</v>
      </c>
      <c r="AA19" s="359">
        <f>SUM($AA10:$AA18)</f>
        <v>9</v>
      </c>
      <c r="AB19" s="359">
        <f>SUM($AB10:$AB18)</f>
        <v>9</v>
      </c>
      <c r="AC19" s="360">
        <f>SUM($AC10:$AC18)</f>
        <v>9</v>
      </c>
      <c r="AD19" s="360">
        <f>SUM($AD10:$AD18)</f>
        <v>9</v>
      </c>
      <c r="AE19" s="361">
        <f>SUM($AE10:$AE18)</f>
        <v>0</v>
      </c>
      <c r="AF19" s="359">
        <f>SUM($AF10:$AF18)</f>
        <v>0</v>
      </c>
      <c r="AG19" s="359">
        <f>SUM($AG10:$AG18)</f>
        <v>0</v>
      </c>
      <c r="AH19" s="359">
        <f>SUM($AH10:$AH18)</f>
        <v>0</v>
      </c>
      <c r="AI19" s="359">
        <f>SUM($AI10:$AI18)</f>
        <v>0</v>
      </c>
      <c r="AJ19" s="360">
        <f>SUM($AJ10:$AJ18)</f>
        <v>0</v>
      </c>
      <c r="AK19" s="234">
        <f>SUM($AK10:$AK18)</f>
        <v>0</v>
      </c>
    </row>
    <row r="20" spans="2:37" ht="28" x14ac:dyDescent="0.35">
      <c r="B20" s="86" t="s">
        <v>1405</v>
      </c>
      <c r="C20" s="87" t="s">
        <v>218</v>
      </c>
      <c r="D20" s="101" t="s">
        <v>66</v>
      </c>
      <c r="E20" s="101" t="s">
        <v>855</v>
      </c>
      <c r="F20" s="101" t="s">
        <v>855</v>
      </c>
      <c r="G20" s="211"/>
      <c r="H20" s="87" t="s">
        <v>219</v>
      </c>
      <c r="I20" s="101" t="s">
        <v>220</v>
      </c>
      <c r="J20" s="1210" t="s">
        <v>1412</v>
      </c>
      <c r="K20" s="210" t="s">
        <v>226</v>
      </c>
      <c r="L20" s="210" t="s">
        <v>231</v>
      </c>
      <c r="M20" s="210" t="s">
        <v>236</v>
      </c>
      <c r="N20" s="210" t="s">
        <v>241</v>
      </c>
      <c r="O20" s="1211" t="s">
        <v>246</v>
      </c>
      <c r="P20" s="214" t="s">
        <v>251</v>
      </c>
      <c r="Q20" s="260" t="s">
        <v>1412</v>
      </c>
      <c r="R20" s="87" t="s">
        <v>226</v>
      </c>
      <c r="S20" s="87" t="s">
        <v>231</v>
      </c>
      <c r="T20" s="87" t="s">
        <v>236</v>
      </c>
      <c r="U20" s="87" t="s">
        <v>241</v>
      </c>
      <c r="V20" s="214" t="s">
        <v>246</v>
      </c>
      <c r="W20" s="214" t="s">
        <v>251</v>
      </c>
      <c r="X20" s="216" t="s">
        <v>1412</v>
      </c>
      <c r="Y20" s="87" t="s">
        <v>226</v>
      </c>
      <c r="Z20" s="87" t="s">
        <v>231</v>
      </c>
      <c r="AA20" s="87" t="s">
        <v>236</v>
      </c>
      <c r="AB20" s="87" t="s">
        <v>241</v>
      </c>
      <c r="AC20" s="448" t="s">
        <v>246</v>
      </c>
      <c r="AD20" s="214" t="s">
        <v>251</v>
      </c>
      <c r="AE20" s="216" t="s">
        <v>1412</v>
      </c>
      <c r="AF20" s="210" t="s">
        <v>226</v>
      </c>
      <c r="AG20" s="210" t="s">
        <v>231</v>
      </c>
      <c r="AH20" s="210" t="s">
        <v>236</v>
      </c>
      <c r="AI20" s="210" t="s">
        <v>241</v>
      </c>
      <c r="AJ20" s="215" t="s">
        <v>246</v>
      </c>
      <c r="AK20" s="451" t="s">
        <v>251</v>
      </c>
    </row>
    <row r="21" spans="2:37" x14ac:dyDescent="0.35">
      <c r="B21" s="102" t="s">
        <v>1444</v>
      </c>
      <c r="C21" s="103" t="s">
        <v>1445</v>
      </c>
      <c r="D21" s="1187" t="s">
        <v>1446</v>
      </c>
      <c r="E21" s="104"/>
      <c r="F21" s="104"/>
      <c r="G21" s="449"/>
      <c r="H21" s="105" t="s">
        <v>305</v>
      </c>
      <c r="I21" s="296">
        <v>2</v>
      </c>
      <c r="J21" s="1195" t="s">
        <v>855</v>
      </c>
      <c r="K21" s="1196">
        <v>0</v>
      </c>
      <c r="L21" s="1197">
        <v>0</v>
      </c>
      <c r="M21" s="1197">
        <v>0</v>
      </c>
      <c r="N21" s="1197">
        <v>0</v>
      </c>
      <c r="O21" s="1197">
        <v>0</v>
      </c>
      <c r="P21" s="1198">
        <v>0</v>
      </c>
      <c r="Q21" s="1208" t="s">
        <v>855</v>
      </c>
      <c r="R21" s="228">
        <v>0</v>
      </c>
      <c r="S21" s="229">
        <v>0</v>
      </c>
      <c r="T21" s="229">
        <v>0</v>
      </c>
      <c r="U21" s="230">
        <v>0</v>
      </c>
      <c r="V21" s="446">
        <v>0</v>
      </c>
      <c r="W21" s="458">
        <v>0</v>
      </c>
      <c r="X21" s="455" t="s">
        <v>855</v>
      </c>
      <c r="Y21" s="228">
        <v>0</v>
      </c>
      <c r="Z21" s="229">
        <v>0</v>
      </c>
      <c r="AA21" s="229">
        <v>0</v>
      </c>
      <c r="AB21" s="230">
        <v>0</v>
      </c>
      <c r="AC21" s="259">
        <v>0</v>
      </c>
      <c r="AD21" s="447">
        <v>0</v>
      </c>
      <c r="AE21" s="450" t="s">
        <v>855</v>
      </c>
      <c r="AF21" s="446">
        <v>0</v>
      </c>
      <c r="AG21" s="446">
        <v>0</v>
      </c>
      <c r="AH21" s="446">
        <v>0</v>
      </c>
      <c r="AI21" s="446">
        <v>0</v>
      </c>
      <c r="AJ21" s="446">
        <v>0</v>
      </c>
      <c r="AK21" s="447">
        <v>0</v>
      </c>
    </row>
    <row r="22" spans="2:37" x14ac:dyDescent="0.35">
      <c r="B22" s="106" t="s">
        <v>1447</v>
      </c>
      <c r="C22" s="107" t="s">
        <v>1448</v>
      </c>
      <c r="D22" s="108" t="s">
        <v>1449</v>
      </c>
      <c r="E22" s="108"/>
      <c r="F22" s="108"/>
      <c r="G22" s="212"/>
      <c r="H22" s="105" t="s">
        <v>305</v>
      </c>
      <c r="I22" s="297">
        <v>2</v>
      </c>
      <c r="J22" s="1199"/>
      <c r="K22" s="217">
        <f>CAMCAM!$L$175+$K21</f>
        <v>86.76977706000001</v>
      </c>
      <c r="L22" s="218">
        <f>CAMCAM!$Q$175+$L21</f>
        <v>86.840035167068322</v>
      </c>
      <c r="M22" s="218">
        <f>CAMCAM!$V$175+$M21</f>
        <v>85.617811296701532</v>
      </c>
      <c r="N22" s="218">
        <f>CAMCAM!$AA$175+$N21</f>
        <v>85.048764959295411</v>
      </c>
      <c r="O22" s="218">
        <f>CAMCAM!$AF$175+$O21</f>
        <v>84.423935363940757</v>
      </c>
      <c r="P22" s="1200">
        <f>CAMCAM!$AK$175+$P21</f>
        <v>84.675554589878075</v>
      </c>
      <c r="Q22" s="459" t="s">
        <v>855</v>
      </c>
      <c r="R22" s="228">
        <v>0</v>
      </c>
      <c r="S22" s="229">
        <v>0</v>
      </c>
      <c r="T22" s="229">
        <v>0</v>
      </c>
      <c r="U22" s="230">
        <v>0</v>
      </c>
      <c r="V22" s="226">
        <v>0</v>
      </c>
      <c r="W22" s="227">
        <v>0</v>
      </c>
      <c r="X22" s="456" t="s">
        <v>855</v>
      </c>
      <c r="Y22" s="228">
        <v>0</v>
      </c>
      <c r="Z22" s="229">
        <v>0</v>
      </c>
      <c r="AA22" s="229">
        <v>0</v>
      </c>
      <c r="AB22" s="230">
        <v>0</v>
      </c>
      <c r="AC22" s="226">
        <v>0</v>
      </c>
      <c r="AD22" s="227">
        <v>0</v>
      </c>
      <c r="AE22" s="231" t="s">
        <v>855</v>
      </c>
      <c r="AF22" s="226">
        <v>0</v>
      </c>
      <c r="AG22" s="226">
        <v>0</v>
      </c>
      <c r="AH22" s="226">
        <v>0</v>
      </c>
      <c r="AI22" s="226">
        <v>0</v>
      </c>
      <c r="AJ22" s="226">
        <v>0</v>
      </c>
      <c r="AK22" s="235">
        <v>0</v>
      </c>
    </row>
    <row r="23" spans="2:37" ht="27.65" customHeight="1" x14ac:dyDescent="0.35">
      <c r="B23" s="106" t="s">
        <v>1450</v>
      </c>
      <c r="C23" s="105" t="s">
        <v>342</v>
      </c>
      <c r="D23" s="108" t="s">
        <v>1451</v>
      </c>
      <c r="E23" s="108"/>
      <c r="F23" s="108"/>
      <c r="G23" s="212"/>
      <c r="H23" s="105" t="s">
        <v>305</v>
      </c>
      <c r="I23" s="297">
        <v>2</v>
      </c>
      <c r="J23" s="1201" t="s">
        <v>855</v>
      </c>
      <c r="K23" s="1190">
        <f>CAMCAM!$L$131-(CAMCAM!$L$102+CAMCAM!$L$103)+$K19</f>
        <v>99.660000000000011</v>
      </c>
      <c r="L23" s="1190">
        <f>CAMCAM!$Q$131-(CAMCAM!$Q$102+CAMCAM!$Q$103)+$L19</f>
        <v>97.376247338129517</v>
      </c>
      <c r="M23" s="1190">
        <f>CAMCAM!$V$131-(CAMCAM!$V$102+CAMCAM!$V$103)+$M19</f>
        <v>78.626747338129519</v>
      </c>
      <c r="N23" s="1190">
        <f>CAMCAM!$AA$131-(CAMCAM!$AA$102+CAMCAM!$AA$103)+$N19</f>
        <v>77.887247338129512</v>
      </c>
      <c r="O23" s="1190">
        <f>CAMCAM!$AF$131-(CAMCAM!$AF$102+CAMCAM!$AF$103)+$O19</f>
        <v>52.850000000000009</v>
      </c>
      <c r="P23" s="1190">
        <f>CAMCAM!$AK$131-(CAMCAM!$AK$102+CAMCAM!$AK$103)+$P19</f>
        <v>52.850000000000009</v>
      </c>
      <c r="Q23" s="459" t="s">
        <v>855</v>
      </c>
      <c r="R23" s="228">
        <v>0</v>
      </c>
      <c r="S23" s="229">
        <v>0</v>
      </c>
      <c r="T23" s="229">
        <v>0</v>
      </c>
      <c r="U23" s="230">
        <v>0</v>
      </c>
      <c r="V23" s="226">
        <v>0</v>
      </c>
      <c r="W23" s="227">
        <v>0</v>
      </c>
      <c r="X23" s="456" t="s">
        <v>855</v>
      </c>
      <c r="Y23" s="228">
        <v>0</v>
      </c>
      <c r="Z23" s="229">
        <v>0</v>
      </c>
      <c r="AA23" s="229">
        <v>0</v>
      </c>
      <c r="AB23" s="230">
        <v>0</v>
      </c>
      <c r="AC23" s="226">
        <v>0</v>
      </c>
      <c r="AD23" s="227">
        <v>0</v>
      </c>
      <c r="AE23" s="231" t="s">
        <v>855</v>
      </c>
      <c r="AF23" s="226">
        <v>0</v>
      </c>
      <c r="AG23" s="226">
        <v>0</v>
      </c>
      <c r="AH23" s="226">
        <v>0</v>
      </c>
      <c r="AI23" s="226">
        <v>0</v>
      </c>
      <c r="AJ23" s="226">
        <v>0</v>
      </c>
      <c r="AK23" s="235">
        <v>0</v>
      </c>
    </row>
    <row r="24" spans="2:37" ht="42" customHeight="1" x14ac:dyDescent="0.35">
      <c r="B24" s="102" t="s">
        <v>1452</v>
      </c>
      <c r="C24" s="109" t="s">
        <v>1453</v>
      </c>
      <c r="D24" s="1187" t="s">
        <v>1454</v>
      </c>
      <c r="E24" s="104"/>
      <c r="F24" s="104"/>
      <c r="G24" s="212"/>
      <c r="H24" s="109" t="s">
        <v>305</v>
      </c>
      <c r="I24" s="298">
        <v>2</v>
      </c>
      <c r="J24" s="1201" t="s">
        <v>855</v>
      </c>
      <c r="K24" s="1189">
        <v>0</v>
      </c>
      <c r="L24" s="1189">
        <v>0</v>
      </c>
      <c r="M24" s="1189">
        <v>0</v>
      </c>
      <c r="N24" s="1189">
        <v>0</v>
      </c>
      <c r="O24" s="1189">
        <v>0</v>
      </c>
      <c r="P24" s="1202">
        <v>0</v>
      </c>
      <c r="Q24" s="459" t="s">
        <v>855</v>
      </c>
      <c r="R24" s="228">
        <v>0</v>
      </c>
      <c r="S24" s="229">
        <v>0</v>
      </c>
      <c r="T24" s="229">
        <v>0</v>
      </c>
      <c r="U24" s="230">
        <v>0</v>
      </c>
      <c r="V24" s="226">
        <v>0</v>
      </c>
      <c r="W24" s="460">
        <v>0</v>
      </c>
      <c r="X24" s="459" t="s">
        <v>855</v>
      </c>
      <c r="Y24" s="228">
        <v>0</v>
      </c>
      <c r="Z24" s="229">
        <v>0</v>
      </c>
      <c r="AA24" s="229">
        <v>0</v>
      </c>
      <c r="AB24" s="230">
        <v>0</v>
      </c>
      <c r="AC24" s="226">
        <v>0</v>
      </c>
      <c r="AD24" s="227">
        <v>0</v>
      </c>
      <c r="AE24" s="231" t="s">
        <v>855</v>
      </c>
      <c r="AF24" s="226">
        <v>0</v>
      </c>
      <c r="AG24" s="226">
        <v>0</v>
      </c>
      <c r="AH24" s="226">
        <v>0</v>
      </c>
      <c r="AI24" s="226">
        <v>0</v>
      </c>
      <c r="AJ24" s="226">
        <v>0</v>
      </c>
      <c r="AK24" s="235">
        <v>0</v>
      </c>
    </row>
    <row r="25" spans="2:37" ht="42" x14ac:dyDescent="0.35">
      <c r="B25" s="106" t="s">
        <v>1455</v>
      </c>
      <c r="C25" s="107" t="s">
        <v>345</v>
      </c>
      <c r="D25" s="108" t="s">
        <v>1456</v>
      </c>
      <c r="E25" s="108"/>
      <c r="F25" s="108"/>
      <c r="G25" s="212"/>
      <c r="H25" s="105" t="s">
        <v>305</v>
      </c>
      <c r="I25" s="297">
        <v>2</v>
      </c>
      <c r="J25" s="1201" t="s">
        <v>855</v>
      </c>
      <c r="K25" s="1190">
        <f>K23+SUM(CAMCAM!$L$124:$L$127)+K24</f>
        <v>99.100000000000009</v>
      </c>
      <c r="L25" s="1190">
        <f>L23+SUM(CAMCAM!$Q$124:$Q$127)+L24</f>
        <v>96.816247338129514</v>
      </c>
      <c r="M25" s="1190">
        <f>M23+SUM(CAMCAM!$V$124:$V$127)+M24</f>
        <v>104.06674733812952</v>
      </c>
      <c r="N25" s="1190">
        <f>N23+SUM(CAMCAM!$AA$124:$AA$127)+N24</f>
        <v>121.32724733812952</v>
      </c>
      <c r="O25" s="1190">
        <f>O23+SUM(CAMCAM!$AF$124:$AF$127)+O24</f>
        <v>96.29000000000002</v>
      </c>
      <c r="P25" s="1203">
        <f>P23+SUM(CAMCAM!$AK$124:$AK$127)+P24</f>
        <v>96.29000000000002</v>
      </c>
      <c r="Q25" s="459" t="s">
        <v>855</v>
      </c>
      <c r="R25" s="228">
        <v>0</v>
      </c>
      <c r="S25" s="229">
        <v>0</v>
      </c>
      <c r="T25" s="229">
        <v>0</v>
      </c>
      <c r="U25" s="230">
        <v>0</v>
      </c>
      <c r="V25" s="226">
        <v>0</v>
      </c>
      <c r="W25" s="227">
        <v>0</v>
      </c>
      <c r="X25" s="456" t="s">
        <v>855</v>
      </c>
      <c r="Y25" s="228">
        <v>0</v>
      </c>
      <c r="Z25" s="229">
        <v>0</v>
      </c>
      <c r="AA25" s="229">
        <v>0</v>
      </c>
      <c r="AB25" s="230">
        <v>0</v>
      </c>
      <c r="AC25" s="226">
        <v>0</v>
      </c>
      <c r="AD25" s="227">
        <v>0</v>
      </c>
      <c r="AE25" s="231" t="s">
        <v>855</v>
      </c>
      <c r="AF25" s="226">
        <v>0</v>
      </c>
      <c r="AG25" s="226">
        <v>0</v>
      </c>
      <c r="AH25" s="226">
        <v>0</v>
      </c>
      <c r="AI25" s="226">
        <v>0</v>
      </c>
      <c r="AJ25" s="226">
        <v>0</v>
      </c>
      <c r="AK25" s="235">
        <v>0</v>
      </c>
    </row>
    <row r="26" spans="2:37" x14ac:dyDescent="0.35">
      <c r="B26" s="106" t="s">
        <v>1457</v>
      </c>
      <c r="C26" s="107" t="s">
        <v>462</v>
      </c>
      <c r="D26" s="108" t="s">
        <v>621</v>
      </c>
      <c r="E26" s="108"/>
      <c r="F26" s="108"/>
      <c r="G26" s="212"/>
      <c r="H26" s="105" t="s">
        <v>305</v>
      </c>
      <c r="I26" s="297">
        <v>2</v>
      </c>
      <c r="J26" s="1201" t="s">
        <v>855</v>
      </c>
      <c r="K26" s="1190">
        <f>CAMCAM!$L$178</f>
        <v>3.0369562419803602</v>
      </c>
      <c r="L26" s="1190">
        <f>CAMCAM!$Q$178</f>
        <v>2.2164329258121902</v>
      </c>
      <c r="M26" s="1190">
        <f>CAMCAM!$V$178</f>
        <v>1.28470629122971</v>
      </c>
      <c r="N26" s="1190">
        <f>CAMCAM!$AA$178</f>
        <v>1.4594331686028099</v>
      </c>
      <c r="O26" s="1190">
        <f>CAMCAM!$AF$178</f>
        <v>1.5470441966673401</v>
      </c>
      <c r="P26" s="1203">
        <f>CAMCAM!$AK$178</f>
        <v>1.5667313850684801</v>
      </c>
      <c r="Q26" s="459" t="s">
        <v>855</v>
      </c>
      <c r="R26" s="228">
        <v>0</v>
      </c>
      <c r="S26" s="229">
        <v>0</v>
      </c>
      <c r="T26" s="229">
        <v>0</v>
      </c>
      <c r="U26" s="230">
        <v>0</v>
      </c>
      <c r="V26" s="226">
        <v>0</v>
      </c>
      <c r="W26" s="460">
        <v>0</v>
      </c>
      <c r="X26" s="459" t="s">
        <v>855</v>
      </c>
      <c r="Y26" s="228">
        <v>0</v>
      </c>
      <c r="Z26" s="229">
        <v>0</v>
      </c>
      <c r="AA26" s="229">
        <v>0</v>
      </c>
      <c r="AB26" s="230">
        <v>0</v>
      </c>
      <c r="AC26" s="226">
        <v>0</v>
      </c>
      <c r="AD26" s="227">
        <v>0</v>
      </c>
      <c r="AE26" s="231" t="s">
        <v>855</v>
      </c>
      <c r="AF26" s="226">
        <v>0</v>
      </c>
      <c r="AG26" s="226">
        <v>0</v>
      </c>
      <c r="AH26" s="226">
        <v>0</v>
      </c>
      <c r="AI26" s="226">
        <v>0</v>
      </c>
      <c r="AJ26" s="226">
        <v>0</v>
      </c>
      <c r="AK26" s="235">
        <v>0</v>
      </c>
    </row>
    <row r="27" spans="2:37" x14ac:dyDescent="0.35">
      <c r="B27" s="102" t="s">
        <v>1458</v>
      </c>
      <c r="C27" s="103" t="s">
        <v>1459</v>
      </c>
      <c r="D27" s="1188" t="s">
        <v>1460</v>
      </c>
      <c r="E27" s="110"/>
      <c r="F27" s="110"/>
      <c r="G27" s="213"/>
      <c r="H27" s="109" t="s">
        <v>305</v>
      </c>
      <c r="I27" s="298">
        <v>2</v>
      </c>
      <c r="J27" s="1201"/>
      <c r="K27" s="1189"/>
      <c r="L27" s="1189"/>
      <c r="M27" s="1189"/>
      <c r="N27" s="1189"/>
      <c r="O27" s="1189"/>
      <c r="P27" s="1202"/>
      <c r="Q27" s="459" t="s">
        <v>855</v>
      </c>
      <c r="R27" s="228">
        <v>0</v>
      </c>
      <c r="S27" s="229">
        <v>0</v>
      </c>
      <c r="T27" s="229">
        <v>0</v>
      </c>
      <c r="U27" s="230">
        <v>0</v>
      </c>
      <c r="V27" s="226">
        <v>0</v>
      </c>
      <c r="W27" s="460">
        <v>0</v>
      </c>
      <c r="X27" s="459" t="s">
        <v>855</v>
      </c>
      <c r="Y27" s="228">
        <v>0</v>
      </c>
      <c r="Z27" s="229">
        <v>0</v>
      </c>
      <c r="AA27" s="229">
        <v>0</v>
      </c>
      <c r="AB27" s="230">
        <v>0</v>
      </c>
      <c r="AC27" s="226">
        <v>0</v>
      </c>
      <c r="AD27" s="227">
        <v>0</v>
      </c>
      <c r="AE27" s="231" t="s">
        <v>855</v>
      </c>
      <c r="AF27" s="226">
        <v>0</v>
      </c>
      <c r="AG27" s="226">
        <v>0</v>
      </c>
      <c r="AH27" s="226">
        <v>0</v>
      </c>
      <c r="AI27" s="226">
        <v>0</v>
      </c>
      <c r="AJ27" s="226">
        <v>0</v>
      </c>
      <c r="AK27" s="235">
        <v>0</v>
      </c>
    </row>
    <row r="28" spans="2:37" ht="15" customHeight="1" x14ac:dyDescent="0.35">
      <c r="B28" s="106" t="s">
        <v>1461</v>
      </c>
      <c r="C28" s="107" t="s">
        <v>465</v>
      </c>
      <c r="D28" s="108" t="s">
        <v>1462</v>
      </c>
      <c r="E28" s="108"/>
      <c r="F28" s="108"/>
      <c r="G28" s="212"/>
      <c r="H28" s="105" t="s">
        <v>305</v>
      </c>
      <c r="I28" s="297">
        <v>2</v>
      </c>
      <c r="J28" s="1201"/>
      <c r="K28" s="1190">
        <f>$K25-$K22</f>
        <v>12.330222939999999</v>
      </c>
      <c r="L28" s="1190">
        <f>$L25-$L22</f>
        <v>9.9762121710611922</v>
      </c>
      <c r="M28" s="1190">
        <f>$M25-$M22</f>
        <v>18.448936041427984</v>
      </c>
      <c r="N28" s="1190">
        <f>$N25-$N22</f>
        <v>36.278482378834113</v>
      </c>
      <c r="O28" s="1190">
        <f>$O25-$O22</f>
        <v>11.866064636059264</v>
      </c>
      <c r="P28" s="1203">
        <f>$P25-$P22</f>
        <v>11.614445410121945</v>
      </c>
      <c r="Q28" s="459" t="s">
        <v>855</v>
      </c>
      <c r="R28" s="228">
        <v>0</v>
      </c>
      <c r="S28" s="229">
        <v>0</v>
      </c>
      <c r="T28" s="229">
        <v>0</v>
      </c>
      <c r="U28" s="230">
        <v>0</v>
      </c>
      <c r="V28" s="226">
        <v>0</v>
      </c>
      <c r="W28" s="460">
        <v>0</v>
      </c>
      <c r="X28" s="459" t="s">
        <v>855</v>
      </c>
      <c r="Y28" s="228">
        <v>0</v>
      </c>
      <c r="Z28" s="229">
        <v>0</v>
      </c>
      <c r="AA28" s="229">
        <v>0</v>
      </c>
      <c r="AB28" s="230">
        <v>0</v>
      </c>
      <c r="AC28" s="226">
        <v>0</v>
      </c>
      <c r="AD28" s="227">
        <v>0</v>
      </c>
      <c r="AE28" s="231" t="s">
        <v>855</v>
      </c>
      <c r="AF28" s="226">
        <v>0</v>
      </c>
      <c r="AG28" s="226">
        <v>0</v>
      </c>
      <c r="AH28" s="226">
        <v>0</v>
      </c>
      <c r="AI28" s="226">
        <v>0</v>
      </c>
      <c r="AJ28" s="226">
        <v>0</v>
      </c>
      <c r="AK28" s="235">
        <v>0</v>
      </c>
    </row>
    <row r="29" spans="2:37" ht="15" customHeight="1" x14ac:dyDescent="0.35">
      <c r="B29" s="223" t="s">
        <v>1463</v>
      </c>
      <c r="C29" s="224" t="s">
        <v>471</v>
      </c>
      <c r="D29" s="225" t="s">
        <v>1464</v>
      </c>
      <c r="E29" s="219"/>
      <c r="F29" s="219"/>
      <c r="G29" s="220"/>
      <c r="H29" s="221" t="s">
        <v>305</v>
      </c>
      <c r="I29" s="299">
        <v>2</v>
      </c>
      <c r="J29" s="1204"/>
      <c r="K29" s="1205">
        <f>$K28-($K26+$K27)</f>
        <v>9.2932666980196394</v>
      </c>
      <c r="L29" s="1206">
        <f>$L28-($L26+$L27)</f>
        <v>7.7597792452490015</v>
      </c>
      <c r="M29" s="1206">
        <f>$M28-($M26+$M27)</f>
        <v>17.164229750198274</v>
      </c>
      <c r="N29" s="1206">
        <f>$N28-($N26+$N27)</f>
        <v>34.819049210231306</v>
      </c>
      <c r="O29" s="1206">
        <f>$O28-($O26+$O27)</f>
        <v>10.319020439391924</v>
      </c>
      <c r="P29" s="1207">
        <f>$P28-($P26+$P27)</f>
        <v>10.047714025053466</v>
      </c>
      <c r="Q29" s="1209" t="s">
        <v>855</v>
      </c>
      <c r="R29" s="228">
        <v>0</v>
      </c>
      <c r="S29" s="229">
        <v>0</v>
      </c>
      <c r="T29" s="229">
        <v>0</v>
      </c>
      <c r="U29" s="230">
        <v>0</v>
      </c>
      <c r="V29" s="226">
        <v>0</v>
      </c>
      <c r="W29" s="227">
        <v>0</v>
      </c>
      <c r="X29" s="457" t="s">
        <v>855</v>
      </c>
      <c r="Y29" s="228">
        <v>0</v>
      </c>
      <c r="Z29" s="229">
        <v>0</v>
      </c>
      <c r="AA29" s="229">
        <v>0</v>
      </c>
      <c r="AB29" s="230">
        <v>0</v>
      </c>
      <c r="AC29" s="226">
        <v>0</v>
      </c>
      <c r="AD29" s="227">
        <v>0</v>
      </c>
      <c r="AE29" s="231" t="s">
        <v>855</v>
      </c>
      <c r="AF29" s="226">
        <v>0</v>
      </c>
      <c r="AG29" s="226">
        <v>0</v>
      </c>
      <c r="AH29" s="226">
        <v>0</v>
      </c>
      <c r="AI29" s="226">
        <v>0</v>
      </c>
      <c r="AJ29" s="226">
        <v>0</v>
      </c>
      <c r="AK29" s="235">
        <v>0</v>
      </c>
    </row>
    <row r="30" spans="2:37" x14ac:dyDescent="0.35">
      <c r="B30" s="222"/>
      <c r="C30" s="222"/>
      <c r="D30" s="222"/>
      <c r="E30" s="222"/>
      <c r="F30" s="222"/>
      <c r="G30" s="222"/>
      <c r="H30" s="222"/>
      <c r="I30" s="222"/>
      <c r="Q30" s="445"/>
      <c r="R30" s="222"/>
      <c r="S30" s="222"/>
      <c r="T30" s="222"/>
      <c r="U30" s="222"/>
      <c r="V30" s="222"/>
      <c r="W30" s="222"/>
      <c r="X30" s="445"/>
      <c r="Y30" s="222"/>
      <c r="Z30" s="222"/>
      <c r="AA30" s="222"/>
      <c r="AB30" s="222"/>
      <c r="AC30" s="222"/>
      <c r="AD30" s="222"/>
      <c r="AE30" s="222"/>
      <c r="AF30" s="222"/>
      <c r="AG30" s="222"/>
      <c r="AH30" s="222"/>
      <c r="AI30" s="222"/>
      <c r="AJ30" s="222"/>
      <c r="AK30" s="222"/>
    </row>
  </sheetData>
  <mergeCells count="4">
    <mergeCell ref="AE8:AK8"/>
    <mergeCell ref="J8:P8"/>
    <mergeCell ref="Q8:W8"/>
    <mergeCell ref="X8:AD8"/>
  </mergeCells>
  <hyperlinks>
    <hyperlink ref="B2" location="'TITLE PAGE'!A1" display="Back to title page"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1:Z131"/>
  <sheetViews>
    <sheetView zoomScale="70" zoomScaleNormal="70" workbookViewId="0">
      <selection activeCell="C6" sqref="C6"/>
    </sheetView>
  </sheetViews>
  <sheetFormatPr defaultColWidth="8.84375" defaultRowHeight="14" x14ac:dyDescent="0.35"/>
  <cols>
    <col min="1" max="1" width="2.15234375" style="8" customWidth="1"/>
    <col min="2" max="2" width="21.15234375" style="8" customWidth="1"/>
    <col min="3" max="3" width="23.84375" style="8" customWidth="1"/>
    <col min="4" max="4" width="10.15234375" style="8" customWidth="1"/>
    <col min="5" max="7" width="8.84375" style="8"/>
    <col min="8" max="8" width="8.53515625" style="8" customWidth="1"/>
    <col min="9" max="9" width="11.15234375" style="8" customWidth="1"/>
    <col min="10" max="16384" width="8.84375" style="8"/>
  </cols>
  <sheetData>
    <row r="1" spans="2:26" ht="14.5" thickBot="1" x14ac:dyDescent="0.4">
      <c r="B1" s="73"/>
      <c r="C1" s="73"/>
      <c r="D1" s="73"/>
      <c r="E1" s="73"/>
      <c r="F1" s="73"/>
      <c r="G1" s="73"/>
      <c r="H1" s="73"/>
      <c r="I1" s="73"/>
      <c r="J1" s="73"/>
      <c r="K1" s="73"/>
      <c r="L1" s="73"/>
      <c r="M1" s="73"/>
      <c r="N1" s="73"/>
      <c r="O1" s="73"/>
      <c r="P1" s="73"/>
      <c r="Q1" s="73"/>
      <c r="R1" s="73"/>
    </row>
    <row r="2" spans="2:26" ht="30.5" thickBot="1" x14ac:dyDescent="0.4">
      <c r="B2" s="111" t="s">
        <v>60</v>
      </c>
      <c r="C2" s="69" t="str">
        <f>'TITLE PAGE'!$D$18</f>
        <v>Cambridge Water</v>
      </c>
      <c r="D2" s="112" t="s">
        <v>1465</v>
      </c>
      <c r="E2" s="70" t="s">
        <v>1466</v>
      </c>
      <c r="F2" s="111" t="s">
        <v>1467</v>
      </c>
      <c r="G2" s="70" t="s">
        <v>85</v>
      </c>
      <c r="H2" s="113" t="s">
        <v>214</v>
      </c>
      <c r="I2" s="70" t="s">
        <v>1468</v>
      </c>
      <c r="K2" s="1243" t="s">
        <v>59</v>
      </c>
      <c r="M2" s="441"/>
      <c r="O2" s="73"/>
      <c r="S2" s="441"/>
    </row>
    <row r="3" spans="2:26" ht="71.25" customHeight="1" thickBot="1" x14ac:dyDescent="0.4">
      <c r="B3" s="112" t="s">
        <v>1469</v>
      </c>
      <c r="C3" s="1780" t="s">
        <v>1470</v>
      </c>
      <c r="D3" s="1781"/>
      <c r="E3" s="1781"/>
      <c r="F3" s="1781"/>
      <c r="G3" s="1781"/>
      <c r="H3" s="1781"/>
      <c r="I3" s="1782"/>
      <c r="N3" s="73"/>
    </row>
    <row r="4" spans="2:26" ht="71.25" customHeight="1" thickBot="1" x14ac:dyDescent="0.4">
      <c r="B4" s="112" t="s">
        <v>1471</v>
      </c>
      <c r="C4" s="1777" t="s">
        <v>1472</v>
      </c>
      <c r="D4" s="1778"/>
      <c r="E4" s="1778"/>
      <c r="F4" s="1778"/>
      <c r="G4" s="1778"/>
      <c r="H4" s="1778"/>
      <c r="I4" s="1779"/>
      <c r="N4" s="1764" t="s">
        <v>1473</v>
      </c>
      <c r="O4" s="1765"/>
      <c r="P4" s="1765"/>
      <c r="Q4" s="1765"/>
      <c r="R4" s="1765"/>
      <c r="S4" s="1765"/>
      <c r="T4" s="1765"/>
      <c r="U4" s="1766"/>
    </row>
    <row r="5" spans="2:26" ht="78" customHeight="1" thickBot="1" x14ac:dyDescent="0.4">
      <c r="B5" s="112" t="s">
        <v>1474</v>
      </c>
      <c r="C5" s="1777" t="s">
        <v>1472</v>
      </c>
      <c r="D5" s="1778"/>
      <c r="E5" s="1778"/>
      <c r="F5" s="1778"/>
      <c r="G5" s="1778"/>
      <c r="H5" s="1778"/>
      <c r="I5" s="1779"/>
      <c r="N5" s="73"/>
    </row>
    <row r="6" spans="2:26" ht="60" customHeight="1" thickBot="1" x14ac:dyDescent="0.35">
      <c r="B6" s="71" t="s">
        <v>1475</v>
      </c>
      <c r="C6" s="428">
        <v>1009.2809999999999</v>
      </c>
      <c r="D6" s="72" t="s">
        <v>1476</v>
      </c>
      <c r="E6" s="114"/>
      <c r="F6" s="115" t="s">
        <v>1477</v>
      </c>
      <c r="G6" s="116"/>
      <c r="H6" s="115" t="s">
        <v>2</v>
      </c>
      <c r="I6" s="116">
        <v>3</v>
      </c>
      <c r="K6" s="73"/>
    </row>
    <row r="7" spans="2:26" ht="14.5" thickBot="1" x14ac:dyDescent="0.4">
      <c r="P7" s="73"/>
    </row>
    <row r="8" spans="2:26" ht="42.5" thickBot="1" x14ac:dyDescent="0.4">
      <c r="B8" s="206" t="str">
        <f>CONCATENATE("Table 7a: WC level - Alternative Programme ",E2, " Baseline SDB")</f>
        <v>Table 7a: WC level - Alternative Programme Least Cost Baseline SDB</v>
      </c>
      <c r="M8" s="1769" t="s">
        <v>1478</v>
      </c>
      <c r="N8" s="1770"/>
      <c r="O8" s="1770"/>
      <c r="P8" s="1770"/>
      <c r="Q8" s="1770"/>
      <c r="R8" s="1770"/>
      <c r="S8" s="1770"/>
      <c r="T8" s="1770"/>
      <c r="U8" s="1770"/>
      <c r="V8" s="1770"/>
      <c r="W8" s="1770"/>
      <c r="X8" s="1770"/>
      <c r="Y8" s="1770"/>
      <c r="Z8" s="1770"/>
    </row>
    <row r="9" spans="2:26" ht="28.5" thickBot="1" x14ac:dyDescent="0.4">
      <c r="B9" s="117" t="s">
        <v>65</v>
      </c>
      <c r="C9" s="118" t="s">
        <v>1479</v>
      </c>
      <c r="D9" s="1771" t="s">
        <v>219</v>
      </c>
      <c r="E9" s="1772"/>
      <c r="F9" s="119" t="s">
        <v>220</v>
      </c>
      <c r="G9" s="131" t="s">
        <v>1480</v>
      </c>
      <c r="H9" s="120" t="s">
        <v>1481</v>
      </c>
      <c r="I9" s="120" t="s">
        <v>1482</v>
      </c>
      <c r="J9" s="120" t="s">
        <v>1483</v>
      </c>
      <c r="K9" s="120" t="s">
        <v>1484</v>
      </c>
      <c r="L9" s="121" t="s">
        <v>1485</v>
      </c>
      <c r="M9" s="132" t="s">
        <v>1486</v>
      </c>
      <c r="N9" s="132" t="s">
        <v>1487</v>
      </c>
      <c r="O9" s="132" t="s">
        <v>1488</v>
      </c>
      <c r="P9" s="132" t="s">
        <v>1489</v>
      </c>
      <c r="Q9" s="131" t="s">
        <v>1490</v>
      </c>
      <c r="R9" s="120" t="s">
        <v>1491</v>
      </c>
      <c r="S9" s="120" t="s">
        <v>1492</v>
      </c>
      <c r="T9" s="120" t="s">
        <v>1493</v>
      </c>
      <c r="U9" s="120" t="s">
        <v>1494</v>
      </c>
      <c r="V9" s="121" t="s">
        <v>1495</v>
      </c>
      <c r="W9" s="132" t="s">
        <v>1496</v>
      </c>
      <c r="X9" s="132" t="s">
        <v>1497</v>
      </c>
      <c r="Y9" s="132" t="s">
        <v>1498</v>
      </c>
      <c r="Z9" s="132" t="s">
        <v>1499</v>
      </c>
    </row>
    <row r="10" spans="2:26" x14ac:dyDescent="0.35">
      <c r="B10" s="122" t="s">
        <v>1500</v>
      </c>
      <c r="C10" s="123" t="s">
        <v>1448</v>
      </c>
      <c r="D10" s="1773" t="s">
        <v>305</v>
      </c>
      <c r="E10" s="1774"/>
      <c r="F10" s="124">
        <v>2</v>
      </c>
      <c r="G10" s="333">
        <v>90.066862810000003</v>
      </c>
      <c r="H10" s="334">
        <v>91.578543530000005</v>
      </c>
      <c r="I10" s="334">
        <v>92.855370399999998</v>
      </c>
      <c r="J10" s="334">
        <v>94.27412600000001</v>
      </c>
      <c r="K10" s="334">
        <v>95.618556510000005</v>
      </c>
      <c r="L10" s="335">
        <v>96.82708765000001</v>
      </c>
      <c r="M10" s="336">
        <v>498.17819680000002</v>
      </c>
      <c r="N10" s="336">
        <v>516.82645722400002</v>
      </c>
      <c r="O10" s="336">
        <v>526.35852748399998</v>
      </c>
      <c r="P10" s="336">
        <v>532.32032339300008</v>
      </c>
      <c r="Q10" s="333">
        <v>536.03634290700006</v>
      </c>
      <c r="R10" s="334">
        <v>538.80573666300006</v>
      </c>
      <c r="S10" s="334">
        <v>541.34095741199997</v>
      </c>
      <c r="T10" s="334">
        <v>543.92101239700003</v>
      </c>
      <c r="U10" s="334">
        <v>546.76252922200001</v>
      </c>
      <c r="V10" s="335">
        <v>550.01623682100001</v>
      </c>
      <c r="W10" s="336">
        <v>553.79165953900008</v>
      </c>
      <c r="X10" s="336">
        <v>558.01352702700001</v>
      </c>
      <c r="Y10" s="336">
        <v>562.469854403</v>
      </c>
      <c r="Z10" s="336">
        <v>566.72209422900005</v>
      </c>
    </row>
    <row r="11" spans="2:26" ht="28.5" customHeight="1" x14ac:dyDescent="0.35">
      <c r="B11" s="125" t="s">
        <v>1501</v>
      </c>
      <c r="C11" s="126" t="s">
        <v>345</v>
      </c>
      <c r="D11" s="1775" t="s">
        <v>305</v>
      </c>
      <c r="E11" s="1776"/>
      <c r="F11" s="127">
        <v>2</v>
      </c>
      <c r="G11" s="337">
        <v>89.100000000000009</v>
      </c>
      <c r="H11" s="338">
        <v>87.767847338129513</v>
      </c>
      <c r="I11" s="338">
        <v>87.619947338129521</v>
      </c>
      <c r="J11" s="338">
        <v>87.112047338129514</v>
      </c>
      <c r="K11" s="338">
        <v>86.964147338129521</v>
      </c>
      <c r="L11" s="339">
        <v>86.816247338129514</v>
      </c>
      <c r="M11" s="340">
        <v>341.81273669064757</v>
      </c>
      <c r="N11" s="340">
        <v>338.11523669064752</v>
      </c>
      <c r="O11" s="340">
        <v>176.45000000000005</v>
      </c>
      <c r="P11" s="340">
        <v>176.45000000000005</v>
      </c>
      <c r="Q11" s="337">
        <v>176.45000000000005</v>
      </c>
      <c r="R11" s="338">
        <v>176.45000000000005</v>
      </c>
      <c r="S11" s="338">
        <v>176.45000000000005</v>
      </c>
      <c r="T11" s="338">
        <v>176.45000000000005</v>
      </c>
      <c r="U11" s="338">
        <v>176.45000000000005</v>
      </c>
      <c r="V11" s="339">
        <v>176.45000000000005</v>
      </c>
      <c r="W11" s="340">
        <v>176.45000000000005</v>
      </c>
      <c r="X11" s="340">
        <v>176.45000000000005</v>
      </c>
      <c r="Y11" s="340">
        <v>176.45000000000005</v>
      </c>
      <c r="Z11" s="340">
        <v>176.45000000000005</v>
      </c>
    </row>
    <row r="12" spans="2:26" x14ac:dyDescent="0.35">
      <c r="B12" s="208" t="s">
        <v>1502</v>
      </c>
      <c r="C12" s="209" t="s">
        <v>462</v>
      </c>
      <c r="D12" s="1775" t="s">
        <v>305</v>
      </c>
      <c r="E12" s="1776"/>
      <c r="F12" s="127">
        <v>2</v>
      </c>
      <c r="G12" s="341">
        <v>3.0369562419803602</v>
      </c>
      <c r="H12" s="342">
        <v>3.2584093998703398</v>
      </c>
      <c r="I12" s="342">
        <v>3.1207130672901799</v>
      </c>
      <c r="J12" s="342">
        <v>3.3875136302605302</v>
      </c>
      <c r="K12" s="342">
        <v>3.3056328126358898</v>
      </c>
      <c r="L12" s="343">
        <v>2.2164329258121902</v>
      </c>
      <c r="M12" s="344">
        <v>10.859612289822691</v>
      </c>
      <c r="N12" s="344">
        <v>7.016397885436219</v>
      </c>
      <c r="O12" s="344">
        <v>7.4251707005774295</v>
      </c>
      <c r="P12" s="344">
        <v>7.9091040421917507</v>
      </c>
      <c r="Q12" s="341">
        <v>8.0134965840180605</v>
      </c>
      <c r="R12" s="342">
        <v>7.1326223585965502</v>
      </c>
      <c r="S12" s="342">
        <v>6.2077185106267603</v>
      </c>
      <c r="T12" s="342">
        <v>5.263036406325047</v>
      </c>
      <c r="U12" s="342">
        <v>4.151497704705883</v>
      </c>
      <c r="V12" s="343">
        <v>3.7888657495144162</v>
      </c>
      <c r="W12" s="344">
        <v>2.9122264229588208</v>
      </c>
      <c r="X12" s="344">
        <v>2.1316378644329732</v>
      </c>
      <c r="Y12" s="344">
        <v>2.1213016395818358</v>
      </c>
      <c r="Z12" s="344">
        <v>1.179976646533242</v>
      </c>
    </row>
    <row r="13" spans="2:26" ht="14.5" thickBot="1" x14ac:dyDescent="0.4">
      <c r="B13" s="128" t="s">
        <v>1503</v>
      </c>
      <c r="C13" s="129" t="s">
        <v>471</v>
      </c>
      <c r="D13" s="1767" t="s">
        <v>305</v>
      </c>
      <c r="E13" s="1768"/>
      <c r="F13" s="130">
        <v>2</v>
      </c>
      <c r="G13" s="345">
        <v>-4.0038190519803551</v>
      </c>
      <c r="H13" s="346">
        <v>-7.069105591740831</v>
      </c>
      <c r="I13" s="346">
        <v>-8.3561361291606566</v>
      </c>
      <c r="J13" s="346">
        <v>-10.549592292131026</v>
      </c>
      <c r="K13" s="346">
        <v>-11.960041984506374</v>
      </c>
      <c r="L13" s="347">
        <v>-12.227273237682686</v>
      </c>
      <c r="M13" s="348">
        <v>-167.22507239917513</v>
      </c>
      <c r="N13" s="348">
        <v>-185.72761841878867</v>
      </c>
      <c r="O13" s="348">
        <v>-357.33369818457743</v>
      </c>
      <c r="P13" s="348">
        <v>-363.77942743519179</v>
      </c>
      <c r="Q13" s="345">
        <v>-367.59983949101809</v>
      </c>
      <c r="R13" s="346">
        <v>-369.48835902159652</v>
      </c>
      <c r="S13" s="346">
        <v>-371.09867592262674</v>
      </c>
      <c r="T13" s="346">
        <v>-372.73404880332504</v>
      </c>
      <c r="U13" s="346">
        <v>-374.46402692670591</v>
      </c>
      <c r="V13" s="347">
        <v>-377.35510257051442</v>
      </c>
      <c r="W13" s="348">
        <v>-380.25388596195876</v>
      </c>
      <c r="X13" s="348">
        <v>-383.69516489143302</v>
      </c>
      <c r="Y13" s="348">
        <v>-388.14115604258183</v>
      </c>
      <c r="Z13" s="348">
        <v>-391.4520708755332</v>
      </c>
    </row>
    <row r="14" spans="2:26" ht="14.5" thickBot="1" x14ac:dyDescent="0.4">
      <c r="B14" s="148"/>
      <c r="C14" s="76"/>
      <c r="D14" s="76"/>
      <c r="E14" s="76"/>
      <c r="Q14" s="73"/>
      <c r="R14" s="73"/>
    </row>
    <row r="15" spans="2:26" ht="56.5" thickBot="1" x14ac:dyDescent="0.4">
      <c r="B15" s="206" t="str">
        <f>CONCATENATE("Table 7b: WC level - Alternative Programme  ",E2, " Final Plan SDB")</f>
        <v>Table 7b: WC level - Alternative Programme  Least Cost Final Plan SDB</v>
      </c>
      <c r="C15" s="150"/>
      <c r="D15" s="149"/>
      <c r="E15" s="149"/>
      <c r="F15" s="85"/>
      <c r="G15" s="85"/>
      <c r="H15" s="85"/>
      <c r="I15" s="85"/>
      <c r="J15" s="85"/>
      <c r="K15" s="85"/>
      <c r="L15" s="85"/>
      <c r="M15" s="1769" t="s">
        <v>1478</v>
      </c>
      <c r="N15" s="1770"/>
      <c r="O15" s="1770"/>
      <c r="P15" s="1770"/>
      <c r="Q15" s="1770"/>
      <c r="R15" s="1770"/>
      <c r="S15" s="1770"/>
      <c r="T15" s="1770"/>
      <c r="U15" s="1770"/>
      <c r="V15" s="1770"/>
      <c r="W15" s="1770"/>
      <c r="X15" s="1770"/>
      <c r="Y15" s="1770"/>
      <c r="Z15" s="1770"/>
    </row>
    <row r="16" spans="2:26" ht="28.5" thickBot="1" x14ac:dyDescent="0.4">
      <c r="B16" s="410" t="s">
        <v>65</v>
      </c>
      <c r="C16" s="411" t="s">
        <v>1504</v>
      </c>
      <c r="D16" s="1771" t="s">
        <v>219</v>
      </c>
      <c r="E16" s="1772"/>
      <c r="F16" s="412" t="s">
        <v>220</v>
      </c>
      <c r="G16" s="413" t="s">
        <v>1480</v>
      </c>
      <c r="H16" s="414" t="s">
        <v>1481</v>
      </c>
      <c r="I16" s="414" t="s">
        <v>1482</v>
      </c>
      <c r="J16" s="414" t="s">
        <v>1483</v>
      </c>
      <c r="K16" s="414" t="s">
        <v>1484</v>
      </c>
      <c r="L16" s="415" t="s">
        <v>1485</v>
      </c>
      <c r="M16" s="416" t="s">
        <v>1486</v>
      </c>
      <c r="N16" s="416" t="s">
        <v>1487</v>
      </c>
      <c r="O16" s="416" t="s">
        <v>1488</v>
      </c>
      <c r="P16" s="416" t="s">
        <v>1489</v>
      </c>
      <c r="Q16" s="131" t="s">
        <v>1490</v>
      </c>
      <c r="R16" s="120" t="s">
        <v>1491</v>
      </c>
      <c r="S16" s="120" t="s">
        <v>1492</v>
      </c>
      <c r="T16" s="120" t="s">
        <v>1493</v>
      </c>
      <c r="U16" s="120" t="s">
        <v>1494</v>
      </c>
      <c r="V16" s="121" t="s">
        <v>1495</v>
      </c>
      <c r="W16" s="132" t="s">
        <v>1496</v>
      </c>
      <c r="X16" s="132" t="s">
        <v>1497</v>
      </c>
      <c r="Y16" s="132" t="s">
        <v>1498</v>
      </c>
      <c r="Z16" s="132" t="s">
        <v>1499</v>
      </c>
    </row>
    <row r="17" spans="2:26" x14ac:dyDescent="0.35">
      <c r="B17" s="390" t="s">
        <v>1505</v>
      </c>
      <c r="C17" s="391" t="s">
        <v>1448</v>
      </c>
      <c r="D17" s="1773" t="s">
        <v>305</v>
      </c>
      <c r="E17" s="1774"/>
      <c r="F17" s="392">
        <v>2</v>
      </c>
      <c r="G17" s="393">
        <v>90.066862810000003</v>
      </c>
      <c r="H17" s="394">
        <v>90.332543529999995</v>
      </c>
      <c r="I17" s="394">
        <v>90.363370400000022</v>
      </c>
      <c r="J17" s="394">
        <v>90.53612600000001</v>
      </c>
      <c r="K17" s="394">
        <v>90.63455651000001</v>
      </c>
      <c r="L17" s="395">
        <v>90.462226917068335</v>
      </c>
      <c r="M17" s="396">
        <v>450.15448605880351</v>
      </c>
      <c r="N17" s="396">
        <v>447.01985298971715</v>
      </c>
      <c r="O17" s="396">
        <v>443.38115492722488</v>
      </c>
      <c r="P17" s="397">
        <v>443.35395241745073</v>
      </c>
      <c r="Q17" s="333">
        <v>444.32058767654462</v>
      </c>
      <c r="R17" s="334">
        <v>446.6686917472199</v>
      </c>
      <c r="S17" s="334">
        <v>449.13548284331182</v>
      </c>
      <c r="T17" s="334">
        <v>451.66041047747325</v>
      </c>
      <c r="U17" s="334">
        <v>454.43324117728747</v>
      </c>
      <c r="V17" s="335">
        <v>457.58400118956888</v>
      </c>
      <c r="W17" s="336">
        <v>461.21709593398901</v>
      </c>
      <c r="X17" s="336">
        <v>465.27200008660094</v>
      </c>
      <c r="Y17" s="336">
        <v>469.55837650166859</v>
      </c>
      <c r="Z17" s="336">
        <v>473.64910048402339</v>
      </c>
    </row>
    <row r="18" spans="2:26" ht="28.5" customHeight="1" x14ac:dyDescent="0.35">
      <c r="B18" s="398" t="s">
        <v>1506</v>
      </c>
      <c r="C18" s="126" t="s">
        <v>345</v>
      </c>
      <c r="D18" s="1775" t="s">
        <v>305</v>
      </c>
      <c r="E18" s="1776"/>
      <c r="F18" s="127">
        <v>2</v>
      </c>
      <c r="G18" s="337">
        <v>97.100000000000009</v>
      </c>
      <c r="H18" s="338">
        <v>95.767847338129513</v>
      </c>
      <c r="I18" s="338">
        <v>95.619947338129521</v>
      </c>
      <c r="J18" s="338">
        <v>95.112047338129514</v>
      </c>
      <c r="K18" s="338">
        <v>94.964147338129521</v>
      </c>
      <c r="L18" s="339">
        <v>94.816247338129514</v>
      </c>
      <c r="M18" s="340">
        <v>500.86273669064758</v>
      </c>
      <c r="N18" s="340">
        <v>580.11523669064763</v>
      </c>
      <c r="O18" s="340">
        <v>471.4500000000001</v>
      </c>
      <c r="P18" s="399">
        <v>471.4500000000001</v>
      </c>
      <c r="Q18" s="337">
        <v>471.4500000000001</v>
      </c>
      <c r="R18" s="338">
        <v>471.4500000000001</v>
      </c>
      <c r="S18" s="338">
        <v>471.4500000000001</v>
      </c>
      <c r="T18" s="338">
        <v>471.4500000000001</v>
      </c>
      <c r="U18" s="338">
        <v>471.4500000000001</v>
      </c>
      <c r="V18" s="339">
        <v>471.4500000000001</v>
      </c>
      <c r="W18" s="340">
        <v>471.4500000000001</v>
      </c>
      <c r="X18" s="340">
        <v>471.4500000000001</v>
      </c>
      <c r="Y18" s="340">
        <v>471.4500000000001</v>
      </c>
      <c r="Z18" s="340">
        <v>471.4500000000001</v>
      </c>
    </row>
    <row r="19" spans="2:26" x14ac:dyDescent="0.35">
      <c r="B19" s="400" t="s">
        <v>1507</v>
      </c>
      <c r="C19" s="209" t="s">
        <v>462</v>
      </c>
      <c r="D19" s="1775" t="s">
        <v>305</v>
      </c>
      <c r="E19" s="1776"/>
      <c r="F19" s="127">
        <v>2</v>
      </c>
      <c r="G19" s="341">
        <v>3.0369562419803602</v>
      </c>
      <c r="H19" s="342">
        <v>3.2584093998703398</v>
      </c>
      <c r="I19" s="342">
        <v>3.1207130672901799</v>
      </c>
      <c r="J19" s="342">
        <v>3.3875136302605302</v>
      </c>
      <c r="K19" s="342">
        <v>3.3056328126358898</v>
      </c>
      <c r="L19" s="343">
        <v>2.2164329258121902</v>
      </c>
      <c r="M19" s="344">
        <v>10.859612289822691</v>
      </c>
      <c r="N19" s="344">
        <v>7.016397885436219</v>
      </c>
      <c r="O19" s="344">
        <v>7.4251707005774295</v>
      </c>
      <c r="P19" s="401">
        <v>7.9091040421917507</v>
      </c>
      <c r="Q19" s="341">
        <v>8.0134965840180605</v>
      </c>
      <c r="R19" s="342">
        <v>7.1326223585965502</v>
      </c>
      <c r="S19" s="342">
        <v>6.2077185106267603</v>
      </c>
      <c r="T19" s="342">
        <v>5.263036406325047</v>
      </c>
      <c r="U19" s="342">
        <v>4.151497704705883</v>
      </c>
      <c r="V19" s="343">
        <v>3.7888657495144162</v>
      </c>
      <c r="W19" s="344">
        <v>2.9122264229588208</v>
      </c>
      <c r="X19" s="344">
        <v>2.1316378644329732</v>
      </c>
      <c r="Y19" s="344">
        <v>2.1213016395818358</v>
      </c>
      <c r="Z19" s="344">
        <v>1.179976646533242</v>
      </c>
    </row>
    <row r="20" spans="2:26" ht="14.5" thickBot="1" x14ac:dyDescent="0.4">
      <c r="B20" s="402" t="s">
        <v>1508</v>
      </c>
      <c r="C20" s="403" t="s">
        <v>471</v>
      </c>
      <c r="D20" s="1767" t="s">
        <v>305</v>
      </c>
      <c r="E20" s="1768"/>
      <c r="F20" s="404">
        <v>2</v>
      </c>
      <c r="G20" s="405">
        <v>3.9961809480196449</v>
      </c>
      <c r="H20" s="406">
        <v>2.1768944082591783</v>
      </c>
      <c r="I20" s="406">
        <v>2.1358638708393185</v>
      </c>
      <c r="J20" s="406">
        <v>1.1884077078689739</v>
      </c>
      <c r="K20" s="406">
        <v>1.0239580154936214</v>
      </c>
      <c r="L20" s="407">
        <v>2.1375874952489888</v>
      </c>
      <c r="M20" s="408">
        <v>39.848638342021317</v>
      </c>
      <c r="N20" s="408">
        <v>128.07898581549426</v>
      </c>
      <c r="O20" s="408">
        <v>30.643674372197815</v>
      </c>
      <c r="P20" s="409">
        <v>30.186943540357625</v>
      </c>
      <c r="Q20" s="345">
        <v>29.115915739437476</v>
      </c>
      <c r="R20" s="346">
        <v>27.648685894183686</v>
      </c>
      <c r="S20" s="346">
        <v>26.106798646061534</v>
      </c>
      <c r="T20" s="346">
        <v>24.526553116201807</v>
      </c>
      <c r="U20" s="346">
        <v>22.865261118006735</v>
      </c>
      <c r="V20" s="347">
        <v>20.077133060916765</v>
      </c>
      <c r="W20" s="348">
        <v>17.320677643052267</v>
      </c>
      <c r="X20" s="348">
        <v>14.046362048966175</v>
      </c>
      <c r="Y20" s="348">
        <v>9.7703218587496909</v>
      </c>
      <c r="Z20" s="348">
        <v>6.6209228694434383</v>
      </c>
    </row>
    <row r="21" spans="2:26" ht="14.5" thickBot="1" x14ac:dyDescent="0.4">
      <c r="B21" s="73"/>
      <c r="Q21" s="73"/>
      <c r="R21" s="73"/>
    </row>
    <row r="22" spans="2:26" ht="60.75" customHeight="1" thickBot="1" x14ac:dyDescent="0.4">
      <c r="B22" s="206" t="str">
        <f>CONCATENATE("Table 7c: WC level - Alternative Programme  ",E2, " Totex")</f>
        <v>Table 7c: WC level - Alternative Programme  Least Cost Totex</v>
      </c>
      <c r="C22" s="150"/>
      <c r="D22" s="149"/>
      <c r="E22" s="85"/>
      <c r="F22" s="85"/>
      <c r="G22" s="85"/>
      <c r="H22" s="85"/>
      <c r="I22" s="85"/>
      <c r="J22" s="85"/>
      <c r="K22" s="85"/>
      <c r="L22" s="85"/>
      <c r="M22" s="1769" t="s">
        <v>1478</v>
      </c>
      <c r="N22" s="1770"/>
      <c r="O22" s="1770"/>
      <c r="P22" s="1770"/>
      <c r="Q22" s="1770"/>
      <c r="R22" s="1770"/>
      <c r="S22" s="1770"/>
      <c r="T22" s="1770"/>
      <c r="U22" s="1770"/>
      <c r="V22" s="1770"/>
      <c r="W22" s="1770"/>
      <c r="X22" s="1770"/>
      <c r="Y22" s="1770"/>
      <c r="Z22" s="1770"/>
    </row>
    <row r="23" spans="2:26" ht="28.5" thickBot="1" x14ac:dyDescent="0.4">
      <c r="B23" s="117" t="s">
        <v>65</v>
      </c>
      <c r="C23" s="118" t="s">
        <v>1509</v>
      </c>
      <c r="D23" s="118" t="s">
        <v>1510</v>
      </c>
      <c r="E23" s="118" t="s">
        <v>219</v>
      </c>
      <c r="F23" s="119" t="s">
        <v>220</v>
      </c>
      <c r="G23" s="131" t="s">
        <v>1480</v>
      </c>
      <c r="H23" s="120" t="s">
        <v>1481</v>
      </c>
      <c r="I23" s="120" t="s">
        <v>1482</v>
      </c>
      <c r="J23" s="120" t="s">
        <v>1483</v>
      </c>
      <c r="K23" s="120" t="s">
        <v>1484</v>
      </c>
      <c r="L23" s="121" t="s">
        <v>1485</v>
      </c>
      <c r="M23" s="132" t="s">
        <v>1486</v>
      </c>
      <c r="N23" s="132" t="s">
        <v>1487</v>
      </c>
      <c r="O23" s="132" t="s">
        <v>1488</v>
      </c>
      <c r="P23" s="132" t="s">
        <v>1489</v>
      </c>
      <c r="Q23" s="131" t="s">
        <v>1490</v>
      </c>
      <c r="R23" s="120" t="s">
        <v>1491</v>
      </c>
      <c r="S23" s="120" t="s">
        <v>1492</v>
      </c>
      <c r="T23" s="120" t="s">
        <v>1493</v>
      </c>
      <c r="U23" s="120" t="s">
        <v>1494</v>
      </c>
      <c r="V23" s="121" t="s">
        <v>1495</v>
      </c>
      <c r="W23" s="132" t="s">
        <v>1496</v>
      </c>
      <c r="X23" s="132" t="s">
        <v>1497</v>
      </c>
      <c r="Y23" s="132" t="s">
        <v>1498</v>
      </c>
      <c r="Z23" s="132" t="s">
        <v>1499</v>
      </c>
    </row>
    <row r="24" spans="2:26" x14ac:dyDescent="0.35">
      <c r="B24" s="257" t="s">
        <v>1511</v>
      </c>
      <c r="C24" s="258" t="s">
        <v>1512</v>
      </c>
      <c r="D24" s="258" t="s">
        <v>1513</v>
      </c>
      <c r="E24" s="258" t="s">
        <v>1514</v>
      </c>
      <c r="F24" s="300">
        <v>3</v>
      </c>
      <c r="G24" s="321">
        <v>0</v>
      </c>
      <c r="H24" s="322">
        <v>0</v>
      </c>
      <c r="I24" s="322">
        <v>0</v>
      </c>
      <c r="J24" s="322">
        <v>0</v>
      </c>
      <c r="K24" s="322">
        <v>0</v>
      </c>
      <c r="L24" s="323">
        <v>0</v>
      </c>
      <c r="M24" s="324">
        <v>0</v>
      </c>
      <c r="N24" s="324">
        <v>0</v>
      </c>
      <c r="O24" s="324">
        <v>0</v>
      </c>
      <c r="P24" s="324">
        <v>0</v>
      </c>
      <c r="Q24" s="333">
        <v>0</v>
      </c>
      <c r="R24" s="334">
        <v>0</v>
      </c>
      <c r="S24" s="334">
        <v>0</v>
      </c>
      <c r="T24" s="334">
        <v>0</v>
      </c>
      <c r="U24" s="334">
        <v>0</v>
      </c>
      <c r="V24" s="335">
        <v>0</v>
      </c>
      <c r="W24" s="335">
        <v>0</v>
      </c>
      <c r="X24" s="335">
        <v>0</v>
      </c>
      <c r="Y24" s="335">
        <v>0</v>
      </c>
      <c r="Z24" s="335">
        <v>0</v>
      </c>
    </row>
    <row r="25" spans="2:26" x14ac:dyDescent="0.35">
      <c r="B25" s="125" t="s">
        <v>1515</v>
      </c>
      <c r="C25" s="126" t="s">
        <v>1516</v>
      </c>
      <c r="D25" s="126" t="s">
        <v>1513</v>
      </c>
      <c r="E25" s="126" t="s">
        <v>1514</v>
      </c>
      <c r="F25" s="301">
        <v>3</v>
      </c>
      <c r="G25" s="325">
        <v>0</v>
      </c>
      <c r="H25" s="326">
        <v>0</v>
      </c>
      <c r="I25" s="326">
        <v>0</v>
      </c>
      <c r="J25" s="326">
        <v>0</v>
      </c>
      <c r="K25" s="326">
        <v>0</v>
      </c>
      <c r="L25" s="327">
        <v>0</v>
      </c>
      <c r="M25" s="328">
        <v>0</v>
      </c>
      <c r="N25" s="328">
        <v>0</v>
      </c>
      <c r="O25" s="328">
        <v>0</v>
      </c>
      <c r="P25" s="328">
        <v>0</v>
      </c>
      <c r="Q25" s="337">
        <v>0</v>
      </c>
      <c r="R25" s="338">
        <v>0</v>
      </c>
      <c r="S25" s="338">
        <v>0</v>
      </c>
      <c r="T25" s="338">
        <v>0</v>
      </c>
      <c r="U25" s="338">
        <v>0</v>
      </c>
      <c r="V25" s="339">
        <v>0</v>
      </c>
      <c r="W25" s="339">
        <v>0</v>
      </c>
      <c r="X25" s="339">
        <v>0</v>
      </c>
      <c r="Y25" s="339">
        <v>0</v>
      </c>
      <c r="Z25" s="339">
        <v>0</v>
      </c>
    </row>
    <row r="26" spans="2:26" ht="14.5" thickBot="1" x14ac:dyDescent="0.4">
      <c r="B26" s="128" t="s">
        <v>1517</v>
      </c>
      <c r="C26" s="129" t="s">
        <v>1518</v>
      </c>
      <c r="D26" s="129" t="s">
        <v>1513</v>
      </c>
      <c r="E26" s="129" t="s">
        <v>1514</v>
      </c>
      <c r="F26" s="302">
        <v>3</v>
      </c>
      <c r="G26" s="329">
        <v>0</v>
      </c>
      <c r="H26" s="330">
        <v>0</v>
      </c>
      <c r="I26" s="330">
        <v>0</v>
      </c>
      <c r="J26" s="330">
        <v>0</v>
      </c>
      <c r="K26" s="330">
        <v>0</v>
      </c>
      <c r="L26" s="331">
        <v>0</v>
      </c>
      <c r="M26" s="332">
        <v>0</v>
      </c>
      <c r="N26" s="332">
        <v>0</v>
      </c>
      <c r="O26" s="332">
        <v>0</v>
      </c>
      <c r="P26" s="332">
        <v>0</v>
      </c>
      <c r="Q26" s="345">
        <v>0</v>
      </c>
      <c r="R26" s="346">
        <v>0</v>
      </c>
      <c r="S26" s="346">
        <v>0</v>
      </c>
      <c r="T26" s="346">
        <v>0</v>
      </c>
      <c r="U26" s="346">
        <v>0</v>
      </c>
      <c r="V26" s="347">
        <v>0</v>
      </c>
      <c r="W26" s="347">
        <v>0</v>
      </c>
      <c r="X26" s="347">
        <v>0</v>
      </c>
      <c r="Y26" s="347">
        <v>0</v>
      </c>
      <c r="Z26" s="347">
        <v>0</v>
      </c>
    </row>
    <row r="27" spans="2:26" ht="14.5" thickBot="1" x14ac:dyDescent="0.4">
      <c r="R27" s="73"/>
      <c r="S27" s="73"/>
    </row>
    <row r="28" spans="2:26" ht="56.5" thickBot="1" x14ac:dyDescent="0.4">
      <c r="B28" s="206" t="str">
        <f>CONCATENATE("Table 7d: WC level - Alternative Programme  ",E2, " Enhancement Expenditure")</f>
        <v>Table 7d: WC level - Alternative Programme  Least Cost Enhancement Expenditure</v>
      </c>
      <c r="C28" s="150"/>
      <c r="D28" s="149"/>
      <c r="E28" s="149"/>
      <c r="F28" s="85"/>
      <c r="G28" s="85"/>
      <c r="H28" s="85"/>
      <c r="I28" s="85"/>
      <c r="J28" s="85"/>
      <c r="K28" s="85"/>
      <c r="L28" s="85"/>
      <c r="M28" s="1769" t="s">
        <v>1478</v>
      </c>
      <c r="N28" s="1770"/>
      <c r="O28" s="1770"/>
      <c r="P28" s="1770"/>
      <c r="Q28" s="1770"/>
      <c r="R28" s="1770"/>
      <c r="S28" s="1770"/>
      <c r="T28" s="1770"/>
      <c r="U28" s="1770"/>
      <c r="V28" s="1770"/>
      <c r="W28" s="1770"/>
      <c r="X28" s="1770"/>
      <c r="Y28" s="1770"/>
      <c r="Z28" s="1770"/>
    </row>
    <row r="29" spans="2:26" ht="28.5" thickBot="1" x14ac:dyDescent="0.4">
      <c r="B29" s="117" t="s">
        <v>65</v>
      </c>
      <c r="C29" s="118" t="s">
        <v>1509</v>
      </c>
      <c r="D29" s="118" t="s">
        <v>1510</v>
      </c>
      <c r="E29" s="118" t="s">
        <v>219</v>
      </c>
      <c r="F29" s="119" t="s">
        <v>220</v>
      </c>
      <c r="G29" s="131" t="s">
        <v>1480</v>
      </c>
      <c r="H29" s="120" t="s">
        <v>1481</v>
      </c>
      <c r="I29" s="120" t="s">
        <v>1482</v>
      </c>
      <c r="J29" s="120" t="s">
        <v>1483</v>
      </c>
      <c r="K29" s="120" t="s">
        <v>1484</v>
      </c>
      <c r="L29" s="121" t="s">
        <v>1485</v>
      </c>
      <c r="M29" s="132" t="s">
        <v>1486</v>
      </c>
      <c r="N29" s="132" t="s">
        <v>1487</v>
      </c>
      <c r="O29" s="132" t="s">
        <v>1488</v>
      </c>
      <c r="P29" s="132" t="s">
        <v>1489</v>
      </c>
      <c r="Q29" s="131" t="s">
        <v>1490</v>
      </c>
      <c r="R29" s="120" t="s">
        <v>1491</v>
      </c>
      <c r="S29" s="120" t="s">
        <v>1492</v>
      </c>
      <c r="T29" s="120" t="s">
        <v>1493</v>
      </c>
      <c r="U29" s="120" t="s">
        <v>1494</v>
      </c>
      <c r="V29" s="121" t="s">
        <v>1495</v>
      </c>
      <c r="W29" s="132" t="s">
        <v>1496</v>
      </c>
      <c r="X29" s="132" t="s">
        <v>1497</v>
      </c>
      <c r="Y29" s="132" t="s">
        <v>1498</v>
      </c>
      <c r="Z29" s="132" t="s">
        <v>1499</v>
      </c>
    </row>
    <row r="30" spans="2:26" ht="14" customHeight="1" x14ac:dyDescent="0.35">
      <c r="B30" s="257" t="s">
        <v>1519</v>
      </c>
      <c r="C30" s="258" t="s">
        <v>1520</v>
      </c>
      <c r="D30" s="258" t="s">
        <v>1322</v>
      </c>
      <c r="E30" s="258" t="s">
        <v>1514</v>
      </c>
      <c r="F30" s="300">
        <v>3</v>
      </c>
      <c r="G30" s="321">
        <v>0</v>
      </c>
      <c r="H30" s="322">
        <v>26.898999999999997</v>
      </c>
      <c r="I30" s="322">
        <v>26.898999999999997</v>
      </c>
      <c r="J30" s="322">
        <v>26.898999999999997</v>
      </c>
      <c r="K30" s="322">
        <v>3.5690000000000004</v>
      </c>
      <c r="L30" s="323">
        <v>166.899</v>
      </c>
      <c r="M30" s="324">
        <v>941.02800000000002</v>
      </c>
      <c r="N30" s="324">
        <v>133.20349999999999</v>
      </c>
      <c r="O30" s="324">
        <v>4.4224999999999994</v>
      </c>
      <c r="P30" s="324">
        <v>0.88500000000000001</v>
      </c>
      <c r="Q30" s="333">
        <v>0</v>
      </c>
      <c r="R30" s="334">
        <v>0</v>
      </c>
      <c r="S30" s="334">
        <v>0</v>
      </c>
      <c r="T30" s="334">
        <v>0</v>
      </c>
      <c r="U30" s="334">
        <v>0</v>
      </c>
      <c r="V30" s="335">
        <v>0</v>
      </c>
      <c r="W30" s="335">
        <v>0</v>
      </c>
      <c r="X30" s="335">
        <v>0</v>
      </c>
      <c r="Y30" s="335">
        <v>0</v>
      </c>
      <c r="Z30" s="335">
        <v>0</v>
      </c>
    </row>
    <row r="31" spans="2:26" ht="14" customHeight="1" x14ac:dyDescent="0.35">
      <c r="B31" s="125" t="s">
        <v>1521</v>
      </c>
      <c r="C31" s="126" t="s">
        <v>1520</v>
      </c>
      <c r="D31" s="126" t="s">
        <v>1317</v>
      </c>
      <c r="E31" s="126" t="s">
        <v>1514</v>
      </c>
      <c r="F31" s="301">
        <v>3</v>
      </c>
      <c r="G31" s="325">
        <v>0</v>
      </c>
      <c r="H31" s="326">
        <v>0.85099999999999998</v>
      </c>
      <c r="I31" s="326">
        <v>0.85099999999999998</v>
      </c>
      <c r="J31" s="326">
        <v>0.85099999999999998</v>
      </c>
      <c r="K31" s="326">
        <v>0.85099999999999998</v>
      </c>
      <c r="L31" s="327">
        <v>0.85099999999999998</v>
      </c>
      <c r="M31" s="328">
        <v>65.121000000000009</v>
      </c>
      <c r="N31" s="328">
        <v>25.473500000000001</v>
      </c>
      <c r="O31" s="328">
        <v>15.298499999999999</v>
      </c>
      <c r="P31" s="328">
        <v>15.335999999999999</v>
      </c>
      <c r="Q31" s="337">
        <v>15.090999999999999</v>
      </c>
      <c r="R31" s="338">
        <v>15.090999999999999</v>
      </c>
      <c r="S31" s="338">
        <v>15.090999999999999</v>
      </c>
      <c r="T31" s="338">
        <v>15.090999999999999</v>
      </c>
      <c r="U31" s="338">
        <v>15.090999999999999</v>
      </c>
      <c r="V31" s="339">
        <v>15.090999999999999</v>
      </c>
      <c r="W31" s="339">
        <v>15.090999999999999</v>
      </c>
      <c r="X31" s="339">
        <v>15.090999999999999</v>
      </c>
      <c r="Y31" s="339">
        <v>15.090999999999999</v>
      </c>
      <c r="Z31" s="339">
        <v>15.090999999999999</v>
      </c>
    </row>
    <row r="32" spans="2:26" ht="14" customHeight="1" thickBot="1" x14ac:dyDescent="0.4">
      <c r="B32" s="128" t="s">
        <v>1522</v>
      </c>
      <c r="C32" s="129" t="s">
        <v>1520</v>
      </c>
      <c r="D32" s="129" t="s">
        <v>1513</v>
      </c>
      <c r="E32" s="129" t="s">
        <v>1514</v>
      </c>
      <c r="F32" s="302">
        <v>3</v>
      </c>
      <c r="G32" s="329">
        <v>0</v>
      </c>
      <c r="H32" s="330">
        <v>27.749999999999996</v>
      </c>
      <c r="I32" s="330">
        <v>27.749999999999996</v>
      </c>
      <c r="J32" s="330">
        <v>27.749999999999996</v>
      </c>
      <c r="K32" s="330">
        <v>4.42</v>
      </c>
      <c r="L32" s="331">
        <v>167.75</v>
      </c>
      <c r="M32" s="332">
        <v>1006.149</v>
      </c>
      <c r="N32" s="332">
        <v>158.67699999999999</v>
      </c>
      <c r="O32" s="332">
        <v>19.720999999999997</v>
      </c>
      <c r="P32" s="332">
        <v>16.221</v>
      </c>
      <c r="Q32" s="345">
        <v>15.090999999999999</v>
      </c>
      <c r="R32" s="346">
        <v>15.090999999999999</v>
      </c>
      <c r="S32" s="346">
        <v>15.090999999999999</v>
      </c>
      <c r="T32" s="346">
        <v>15.090999999999999</v>
      </c>
      <c r="U32" s="346">
        <v>15.090999999999999</v>
      </c>
      <c r="V32" s="347">
        <v>15.090999999999999</v>
      </c>
      <c r="W32" s="347">
        <v>15.090999999999999</v>
      </c>
      <c r="X32" s="347">
        <v>15.090999999999999</v>
      </c>
      <c r="Y32" s="347">
        <v>15.090999999999999</v>
      </c>
      <c r="Z32" s="347">
        <v>15.090999999999999</v>
      </c>
    </row>
    <row r="33" spans="2:26" x14ac:dyDescent="0.35">
      <c r="Q33" s="73"/>
      <c r="R33" s="73"/>
    </row>
    <row r="34" spans="2:26" ht="14.5" thickBot="1" x14ac:dyDescent="0.4">
      <c r="Q34" s="73"/>
      <c r="R34" s="73"/>
    </row>
    <row r="35" spans="2:26" ht="42.65" customHeight="1" thickBot="1" x14ac:dyDescent="0.4">
      <c r="B35" s="111" t="s">
        <v>60</v>
      </c>
      <c r="C35" s="69" t="str">
        <f>'TITLE PAGE'!$D$18</f>
        <v>Cambridge Water</v>
      </c>
      <c r="D35" s="112" t="s">
        <v>1465</v>
      </c>
      <c r="E35" s="70" t="s">
        <v>1523</v>
      </c>
      <c r="F35" s="111" t="s">
        <v>1467</v>
      </c>
      <c r="G35" s="70" t="s">
        <v>85</v>
      </c>
      <c r="H35" s="113" t="s">
        <v>214</v>
      </c>
      <c r="I35" s="70" t="s">
        <v>1468</v>
      </c>
      <c r="Q35" s="73"/>
      <c r="R35" s="73"/>
    </row>
    <row r="36" spans="2:26" ht="42.65" customHeight="1" thickBot="1" x14ac:dyDescent="0.4">
      <c r="B36" s="112" t="s">
        <v>1469</v>
      </c>
      <c r="C36" s="1780" t="s">
        <v>1524</v>
      </c>
      <c r="D36" s="1781"/>
      <c r="E36" s="1781"/>
      <c r="F36" s="1781"/>
      <c r="G36" s="1781"/>
      <c r="H36" s="1781"/>
      <c r="I36" s="1782"/>
      <c r="Q36" s="73"/>
      <c r="R36" s="73"/>
    </row>
    <row r="37" spans="2:26" ht="42.65" customHeight="1" thickBot="1" x14ac:dyDescent="0.4">
      <c r="B37" s="112" t="s">
        <v>1471</v>
      </c>
      <c r="C37" s="1777" t="s">
        <v>1472</v>
      </c>
      <c r="D37" s="1778"/>
      <c r="E37" s="1778"/>
      <c r="F37" s="1778"/>
      <c r="G37" s="1778"/>
      <c r="H37" s="1778"/>
      <c r="I37" s="1779"/>
      <c r="Q37" s="73"/>
      <c r="R37" s="73"/>
    </row>
    <row r="38" spans="2:26" ht="87.65" customHeight="1" thickBot="1" x14ac:dyDescent="0.4">
      <c r="B38" s="112" t="s">
        <v>1474</v>
      </c>
      <c r="C38" s="1777" t="s">
        <v>1472</v>
      </c>
      <c r="D38" s="1778"/>
      <c r="E38" s="1778"/>
      <c r="F38" s="1778"/>
      <c r="G38" s="1778"/>
      <c r="H38" s="1778"/>
      <c r="I38" s="1779"/>
    </row>
    <row r="39" spans="2:26" ht="56.5" thickBot="1" x14ac:dyDescent="0.35">
      <c r="B39" s="71" t="s">
        <v>1525</v>
      </c>
      <c r="C39" s="428">
        <v>1009.2809999999999</v>
      </c>
      <c r="D39" s="72" t="s">
        <v>1476</v>
      </c>
      <c r="E39" s="114"/>
      <c r="F39" s="115" t="s">
        <v>1477</v>
      </c>
      <c r="G39" s="116"/>
      <c r="H39" s="115" t="s">
        <v>2</v>
      </c>
      <c r="I39" s="116">
        <v>3</v>
      </c>
    </row>
    <row r="40" spans="2:26" ht="14.5" thickBot="1" x14ac:dyDescent="0.4"/>
    <row r="41" spans="2:26" ht="42.5" thickBot="1" x14ac:dyDescent="0.4">
      <c r="B41" s="206" t="str">
        <f>CONCATENATE("Table 7a: WC level - Alternative Programme ",E35, " Baseline SDB")</f>
        <v>Table 7a: WC level - Alternative Programme Ofwat Core Baseline SDB</v>
      </c>
      <c r="M41" s="1769" t="s">
        <v>1478</v>
      </c>
      <c r="N41" s="1770"/>
      <c r="O41" s="1770"/>
      <c r="P41" s="1770"/>
      <c r="Q41" s="1770"/>
      <c r="R41" s="1770"/>
      <c r="S41" s="1770"/>
      <c r="T41" s="1770"/>
      <c r="U41" s="1770"/>
      <c r="V41" s="1770"/>
      <c r="W41" s="1770"/>
      <c r="X41" s="1770"/>
      <c r="Y41" s="1770"/>
      <c r="Z41" s="1770"/>
    </row>
    <row r="42" spans="2:26" ht="28.5" thickBot="1" x14ac:dyDescent="0.4">
      <c r="B42" s="117" t="s">
        <v>65</v>
      </c>
      <c r="C42" s="118" t="s">
        <v>1479</v>
      </c>
      <c r="D42" s="1771" t="s">
        <v>219</v>
      </c>
      <c r="E42" s="1772"/>
      <c r="F42" s="119" t="s">
        <v>220</v>
      </c>
      <c r="G42" s="131" t="s">
        <v>1480</v>
      </c>
      <c r="H42" s="120" t="s">
        <v>1481</v>
      </c>
      <c r="I42" s="120" t="s">
        <v>1482</v>
      </c>
      <c r="J42" s="120" t="s">
        <v>1483</v>
      </c>
      <c r="K42" s="120" t="s">
        <v>1484</v>
      </c>
      <c r="L42" s="121" t="s">
        <v>1485</v>
      </c>
      <c r="M42" s="132" t="s">
        <v>1486</v>
      </c>
      <c r="N42" s="132" t="s">
        <v>1487</v>
      </c>
      <c r="O42" s="132" t="s">
        <v>1488</v>
      </c>
      <c r="P42" s="132" t="s">
        <v>1489</v>
      </c>
      <c r="Q42" s="131" t="s">
        <v>1490</v>
      </c>
      <c r="R42" s="120" t="s">
        <v>1491</v>
      </c>
      <c r="S42" s="120" t="s">
        <v>1492</v>
      </c>
      <c r="T42" s="120" t="s">
        <v>1493</v>
      </c>
      <c r="U42" s="120" t="s">
        <v>1494</v>
      </c>
      <c r="V42" s="121" t="s">
        <v>1495</v>
      </c>
      <c r="W42" s="132" t="s">
        <v>1496</v>
      </c>
      <c r="X42" s="132" t="s">
        <v>1497</v>
      </c>
      <c r="Y42" s="132" t="s">
        <v>1498</v>
      </c>
      <c r="Z42" s="132" t="s">
        <v>1499</v>
      </c>
    </row>
    <row r="43" spans="2:26" x14ac:dyDescent="0.35">
      <c r="B43" s="122" t="s">
        <v>1500</v>
      </c>
      <c r="C43" s="123" t="s">
        <v>1448</v>
      </c>
      <c r="D43" s="1773" t="s">
        <v>305</v>
      </c>
      <c r="E43" s="1774"/>
      <c r="F43" s="124">
        <v>2</v>
      </c>
      <c r="G43" s="333">
        <v>90.066862810000003</v>
      </c>
      <c r="H43" s="334">
        <v>91.578543530000005</v>
      </c>
      <c r="I43" s="334">
        <v>92.855370399999998</v>
      </c>
      <c r="J43" s="334">
        <v>94.27412600000001</v>
      </c>
      <c r="K43" s="334">
        <v>95.618556510000005</v>
      </c>
      <c r="L43" s="335">
        <v>96.82708765000001</v>
      </c>
      <c r="M43" s="336">
        <v>498.17819680000002</v>
      </c>
      <c r="N43" s="336">
        <v>516.82645722400002</v>
      </c>
      <c r="O43" s="336">
        <v>526.35852748399998</v>
      </c>
      <c r="P43" s="336">
        <v>532.32032339300008</v>
      </c>
      <c r="Q43" s="333">
        <v>536.03634290700006</v>
      </c>
      <c r="R43" s="334">
        <v>538.80573666300006</v>
      </c>
      <c r="S43" s="334">
        <v>541.34095741199997</v>
      </c>
      <c r="T43" s="334">
        <v>543.92101239700003</v>
      </c>
      <c r="U43" s="334">
        <v>546.76252922200001</v>
      </c>
      <c r="V43" s="335">
        <v>550.01623682100001</v>
      </c>
      <c r="W43" s="336">
        <v>553.79165953900008</v>
      </c>
      <c r="X43" s="336">
        <v>558.01352702700001</v>
      </c>
      <c r="Y43" s="336">
        <v>562.469854403</v>
      </c>
      <c r="Z43" s="336">
        <v>566.72209422900005</v>
      </c>
    </row>
    <row r="44" spans="2:26" x14ac:dyDescent="0.35">
      <c r="B44" s="125" t="s">
        <v>1501</v>
      </c>
      <c r="C44" s="126" t="s">
        <v>345</v>
      </c>
      <c r="D44" s="1775" t="s">
        <v>305</v>
      </c>
      <c r="E44" s="1776"/>
      <c r="F44" s="127">
        <v>2</v>
      </c>
      <c r="G44" s="337">
        <v>89.100000000000009</v>
      </c>
      <c r="H44" s="338">
        <v>87.767847338129513</v>
      </c>
      <c r="I44" s="338">
        <v>87.619947338129521</v>
      </c>
      <c r="J44" s="338">
        <v>87.112047338129514</v>
      </c>
      <c r="K44" s="338">
        <v>86.964147338129521</v>
      </c>
      <c r="L44" s="339">
        <v>86.816247338129514</v>
      </c>
      <c r="M44" s="340">
        <v>341.81273669064757</v>
      </c>
      <c r="N44" s="340">
        <v>338.11523669064752</v>
      </c>
      <c r="O44" s="340">
        <v>176.45000000000005</v>
      </c>
      <c r="P44" s="340">
        <v>176.45000000000005</v>
      </c>
      <c r="Q44" s="337">
        <v>176.45000000000005</v>
      </c>
      <c r="R44" s="338">
        <v>176.45000000000005</v>
      </c>
      <c r="S44" s="338">
        <v>176.45000000000005</v>
      </c>
      <c r="T44" s="338">
        <v>176.45000000000005</v>
      </c>
      <c r="U44" s="338">
        <v>176.45000000000005</v>
      </c>
      <c r="V44" s="339">
        <v>176.45000000000005</v>
      </c>
      <c r="W44" s="340">
        <v>176.45000000000005</v>
      </c>
      <c r="X44" s="340">
        <v>176.45000000000005</v>
      </c>
      <c r="Y44" s="340">
        <v>176.45000000000005</v>
      </c>
      <c r="Z44" s="340">
        <v>176.45000000000005</v>
      </c>
    </row>
    <row r="45" spans="2:26" x14ac:dyDescent="0.35">
      <c r="B45" s="208" t="s">
        <v>1502</v>
      </c>
      <c r="C45" s="209" t="s">
        <v>462</v>
      </c>
      <c r="D45" s="1775" t="s">
        <v>305</v>
      </c>
      <c r="E45" s="1776"/>
      <c r="F45" s="127">
        <v>2</v>
      </c>
      <c r="G45" s="341">
        <v>3.0369562419803602</v>
      </c>
      <c r="H45" s="342">
        <v>3.2584093998703398</v>
      </c>
      <c r="I45" s="342">
        <v>3.1207130672901799</v>
      </c>
      <c r="J45" s="342">
        <v>3.3875136302605302</v>
      </c>
      <c r="K45" s="342">
        <v>3.3056328126358898</v>
      </c>
      <c r="L45" s="343">
        <v>2.2164329258121902</v>
      </c>
      <c r="M45" s="344">
        <v>10.859612289822691</v>
      </c>
      <c r="N45" s="344">
        <v>7.016397885436219</v>
      </c>
      <c r="O45" s="344">
        <v>7.4251707005774295</v>
      </c>
      <c r="P45" s="344">
        <v>7.9091040421917507</v>
      </c>
      <c r="Q45" s="341">
        <v>8.0134965840180605</v>
      </c>
      <c r="R45" s="342">
        <v>7.1326223585965502</v>
      </c>
      <c r="S45" s="342">
        <v>6.2077185106267603</v>
      </c>
      <c r="T45" s="342">
        <v>5.263036406325047</v>
      </c>
      <c r="U45" s="342">
        <v>4.151497704705883</v>
      </c>
      <c r="V45" s="343">
        <v>3.7888657495144162</v>
      </c>
      <c r="W45" s="344">
        <v>2.9122264229588208</v>
      </c>
      <c r="X45" s="344">
        <v>2.1316378644329732</v>
      </c>
      <c r="Y45" s="344">
        <v>2.1213016395818358</v>
      </c>
      <c r="Z45" s="344">
        <v>1.179976646533242</v>
      </c>
    </row>
    <row r="46" spans="2:26" ht="14.5" thickBot="1" x14ac:dyDescent="0.4">
      <c r="B46" s="128" t="s">
        <v>1503</v>
      </c>
      <c r="C46" s="129" t="s">
        <v>471</v>
      </c>
      <c r="D46" s="1767" t="s">
        <v>305</v>
      </c>
      <c r="E46" s="1768"/>
      <c r="F46" s="130">
        <v>2</v>
      </c>
      <c r="G46" s="345">
        <v>-4.0038190519803551</v>
      </c>
      <c r="H46" s="346">
        <v>-7.069105591740831</v>
      </c>
      <c r="I46" s="346">
        <v>-8.3561361291606566</v>
      </c>
      <c r="J46" s="346">
        <v>-10.549592292131026</v>
      </c>
      <c r="K46" s="346">
        <v>-11.960041984506374</v>
      </c>
      <c r="L46" s="347">
        <v>-12.227273237682686</v>
      </c>
      <c r="M46" s="348">
        <v>-167.22507239917513</v>
      </c>
      <c r="N46" s="348">
        <v>-185.72761841878867</v>
      </c>
      <c r="O46" s="348">
        <v>-357.33369818457743</v>
      </c>
      <c r="P46" s="348">
        <v>-363.77942743519179</v>
      </c>
      <c r="Q46" s="345">
        <v>-367.59983949101809</v>
      </c>
      <c r="R46" s="346">
        <v>-369.48835902159652</v>
      </c>
      <c r="S46" s="346">
        <v>-371.09867592262674</v>
      </c>
      <c r="T46" s="346">
        <v>-372.73404880332504</v>
      </c>
      <c r="U46" s="346">
        <v>-374.46402692670591</v>
      </c>
      <c r="V46" s="347">
        <v>-377.35510257051442</v>
      </c>
      <c r="W46" s="348">
        <v>-380.25388596195876</v>
      </c>
      <c r="X46" s="348">
        <v>-383.69516489143302</v>
      </c>
      <c r="Y46" s="348">
        <v>-388.14115604258183</v>
      </c>
      <c r="Z46" s="348">
        <v>-391.4520708755332</v>
      </c>
    </row>
    <row r="47" spans="2:26" ht="14.5" thickBot="1" x14ac:dyDescent="0.4">
      <c r="B47" s="148"/>
      <c r="C47" s="76"/>
      <c r="D47" s="76"/>
      <c r="E47" s="76"/>
      <c r="Q47" s="73"/>
      <c r="R47" s="73"/>
    </row>
    <row r="48" spans="2:26" ht="56.5" thickBot="1" x14ac:dyDescent="0.4">
      <c r="B48" s="206" t="str">
        <f>CONCATENATE("Table 7b: WC level - Alternative Programme  ",E35, " Final Plan SDB")</f>
        <v>Table 7b: WC level - Alternative Programme  Ofwat Core Final Plan SDB</v>
      </c>
      <c r="C48" s="150"/>
      <c r="D48" s="149"/>
      <c r="E48" s="149"/>
      <c r="F48" s="85"/>
      <c r="G48" s="85"/>
      <c r="H48" s="85"/>
      <c r="I48" s="85"/>
      <c r="J48" s="85"/>
      <c r="K48" s="85"/>
      <c r="L48" s="85"/>
      <c r="M48" s="1769" t="s">
        <v>1478</v>
      </c>
      <c r="N48" s="1770"/>
      <c r="O48" s="1770"/>
      <c r="P48" s="1770"/>
      <c r="Q48" s="1770"/>
      <c r="R48" s="1770"/>
      <c r="S48" s="1770"/>
      <c r="T48" s="1770"/>
      <c r="U48" s="1770"/>
      <c r="V48" s="1770"/>
      <c r="W48" s="1770"/>
      <c r="X48" s="1770"/>
      <c r="Y48" s="1770"/>
      <c r="Z48" s="1770"/>
    </row>
    <row r="49" spans="2:26" ht="28.5" thickBot="1" x14ac:dyDescent="0.4">
      <c r="B49" s="410" t="s">
        <v>65</v>
      </c>
      <c r="C49" s="411" t="s">
        <v>1504</v>
      </c>
      <c r="D49" s="1771" t="s">
        <v>219</v>
      </c>
      <c r="E49" s="1772"/>
      <c r="F49" s="412" t="s">
        <v>220</v>
      </c>
      <c r="G49" s="413" t="s">
        <v>1480</v>
      </c>
      <c r="H49" s="414" t="s">
        <v>1481</v>
      </c>
      <c r="I49" s="414" t="s">
        <v>1482</v>
      </c>
      <c r="J49" s="414" t="s">
        <v>1483</v>
      </c>
      <c r="K49" s="414" t="s">
        <v>1484</v>
      </c>
      <c r="L49" s="415" t="s">
        <v>1485</v>
      </c>
      <c r="M49" s="416" t="s">
        <v>1486</v>
      </c>
      <c r="N49" s="416" t="s">
        <v>1487</v>
      </c>
      <c r="O49" s="416" t="s">
        <v>1488</v>
      </c>
      <c r="P49" s="416" t="s">
        <v>1489</v>
      </c>
      <c r="Q49" s="131" t="s">
        <v>1490</v>
      </c>
      <c r="R49" s="120" t="s">
        <v>1491</v>
      </c>
      <c r="S49" s="120" t="s">
        <v>1492</v>
      </c>
      <c r="T49" s="120" t="s">
        <v>1493</v>
      </c>
      <c r="U49" s="120" t="s">
        <v>1494</v>
      </c>
      <c r="V49" s="121" t="s">
        <v>1495</v>
      </c>
      <c r="W49" s="132" t="s">
        <v>1496</v>
      </c>
      <c r="X49" s="132" t="s">
        <v>1497</v>
      </c>
      <c r="Y49" s="132" t="s">
        <v>1498</v>
      </c>
      <c r="Z49" s="132" t="s">
        <v>1499</v>
      </c>
    </row>
    <row r="50" spans="2:26" x14ac:dyDescent="0.35">
      <c r="B50" s="390" t="s">
        <v>1505</v>
      </c>
      <c r="C50" s="391" t="s">
        <v>1448</v>
      </c>
      <c r="D50" s="1773" t="s">
        <v>305</v>
      </c>
      <c r="E50" s="1774"/>
      <c r="F50" s="392">
        <v>2</v>
      </c>
      <c r="G50" s="393">
        <v>90.066862810000003</v>
      </c>
      <c r="H50" s="394">
        <v>90.332543529999995</v>
      </c>
      <c r="I50" s="394">
        <v>90.363370400000022</v>
      </c>
      <c r="J50" s="394">
        <v>90.53612600000001</v>
      </c>
      <c r="K50" s="394">
        <v>90.63455651000001</v>
      </c>
      <c r="L50" s="395">
        <v>90.462226917068335</v>
      </c>
      <c r="M50" s="396">
        <v>450.15448605880351</v>
      </c>
      <c r="N50" s="396">
        <v>447.01985298971715</v>
      </c>
      <c r="O50" s="396">
        <v>443.38115492722488</v>
      </c>
      <c r="P50" s="397">
        <v>443.35395241745073</v>
      </c>
      <c r="Q50" s="333">
        <v>444.32058767654462</v>
      </c>
      <c r="R50" s="334">
        <v>446.6686917472199</v>
      </c>
      <c r="S50" s="334">
        <v>449.13548284331182</v>
      </c>
      <c r="T50" s="334">
        <v>451.66041047747325</v>
      </c>
      <c r="U50" s="334">
        <v>454.43324117728747</v>
      </c>
      <c r="V50" s="335">
        <v>457.58400118956888</v>
      </c>
      <c r="W50" s="336">
        <v>461.21709593398901</v>
      </c>
      <c r="X50" s="336">
        <v>465.27200008660094</v>
      </c>
      <c r="Y50" s="336">
        <v>469.55837650166859</v>
      </c>
      <c r="Z50" s="336">
        <v>473.64910048402339</v>
      </c>
    </row>
    <row r="51" spans="2:26" x14ac:dyDescent="0.35">
      <c r="B51" s="398" t="s">
        <v>1506</v>
      </c>
      <c r="C51" s="126" t="s">
        <v>345</v>
      </c>
      <c r="D51" s="1775" t="s">
        <v>305</v>
      </c>
      <c r="E51" s="1776"/>
      <c r="F51" s="127">
        <v>2</v>
      </c>
      <c r="G51" s="337">
        <v>97.100000000000009</v>
      </c>
      <c r="H51" s="338">
        <v>95.767847338129513</v>
      </c>
      <c r="I51" s="338">
        <v>95.619947338129521</v>
      </c>
      <c r="J51" s="338">
        <v>95.112047338129514</v>
      </c>
      <c r="K51" s="338">
        <v>94.964147338129521</v>
      </c>
      <c r="L51" s="339">
        <v>94.816247338129514</v>
      </c>
      <c r="M51" s="340">
        <v>500.86273669064758</v>
      </c>
      <c r="N51" s="340">
        <v>580.11523669064763</v>
      </c>
      <c r="O51" s="340">
        <v>471.4500000000001</v>
      </c>
      <c r="P51" s="399">
        <v>471.4500000000001</v>
      </c>
      <c r="Q51" s="337">
        <v>471.4500000000001</v>
      </c>
      <c r="R51" s="338">
        <v>471.4500000000001</v>
      </c>
      <c r="S51" s="338">
        <v>471.4500000000001</v>
      </c>
      <c r="T51" s="338">
        <v>471.4500000000001</v>
      </c>
      <c r="U51" s="338">
        <v>471.4500000000001</v>
      </c>
      <c r="V51" s="339">
        <v>471.4500000000001</v>
      </c>
      <c r="W51" s="340">
        <v>471.4500000000001</v>
      </c>
      <c r="X51" s="340">
        <v>471.4500000000001</v>
      </c>
      <c r="Y51" s="340">
        <v>471.4500000000001</v>
      </c>
      <c r="Z51" s="340">
        <v>471.4500000000001</v>
      </c>
    </row>
    <row r="52" spans="2:26" x14ac:dyDescent="0.35">
      <c r="B52" s="400" t="s">
        <v>1507</v>
      </c>
      <c r="C52" s="209" t="s">
        <v>462</v>
      </c>
      <c r="D52" s="1775" t="s">
        <v>305</v>
      </c>
      <c r="E52" s="1776"/>
      <c r="F52" s="127">
        <v>2</v>
      </c>
      <c r="G52" s="341">
        <v>3.0369562419803602</v>
      </c>
      <c r="H52" s="342">
        <v>3.2584093998703398</v>
      </c>
      <c r="I52" s="342">
        <v>3.1207130672901799</v>
      </c>
      <c r="J52" s="342">
        <v>3.3875136302605302</v>
      </c>
      <c r="K52" s="342">
        <v>3.3056328126358898</v>
      </c>
      <c r="L52" s="343">
        <v>2.2164329258121902</v>
      </c>
      <c r="M52" s="344">
        <v>10.859612289822691</v>
      </c>
      <c r="N52" s="344">
        <v>7.016397885436219</v>
      </c>
      <c r="O52" s="344">
        <v>7.4251707005774295</v>
      </c>
      <c r="P52" s="401">
        <v>7.9091040421917507</v>
      </c>
      <c r="Q52" s="341">
        <v>8.0134965840180605</v>
      </c>
      <c r="R52" s="342">
        <v>7.1326223585965502</v>
      </c>
      <c r="S52" s="342">
        <v>6.2077185106267603</v>
      </c>
      <c r="T52" s="342">
        <v>5.263036406325047</v>
      </c>
      <c r="U52" s="342">
        <v>4.151497704705883</v>
      </c>
      <c r="V52" s="343">
        <v>3.7888657495144162</v>
      </c>
      <c r="W52" s="344">
        <v>2.9122264229588208</v>
      </c>
      <c r="X52" s="344">
        <v>2.1316378644329732</v>
      </c>
      <c r="Y52" s="344">
        <v>2.1213016395818358</v>
      </c>
      <c r="Z52" s="344">
        <v>1.179976646533242</v>
      </c>
    </row>
    <row r="53" spans="2:26" ht="14.5" thickBot="1" x14ac:dyDescent="0.4">
      <c r="B53" s="402" t="s">
        <v>1508</v>
      </c>
      <c r="C53" s="403" t="s">
        <v>471</v>
      </c>
      <c r="D53" s="1767" t="s">
        <v>305</v>
      </c>
      <c r="E53" s="1768"/>
      <c r="F53" s="404">
        <v>2</v>
      </c>
      <c r="G53" s="405">
        <v>3.9961809480196449</v>
      </c>
      <c r="H53" s="406">
        <v>2.1768944082591783</v>
      </c>
      <c r="I53" s="406">
        <v>2.1358638708393185</v>
      </c>
      <c r="J53" s="406">
        <v>1.1884077078689739</v>
      </c>
      <c r="K53" s="406">
        <v>1.0239580154936214</v>
      </c>
      <c r="L53" s="407">
        <v>2.1375874952489888</v>
      </c>
      <c r="M53" s="408">
        <v>39.848638342021317</v>
      </c>
      <c r="N53" s="408">
        <v>128.07898581549426</v>
      </c>
      <c r="O53" s="408">
        <v>30.643674372197815</v>
      </c>
      <c r="P53" s="409">
        <v>30.186943540357625</v>
      </c>
      <c r="Q53" s="345">
        <v>29.115915739437476</v>
      </c>
      <c r="R53" s="346">
        <v>27.648685894183686</v>
      </c>
      <c r="S53" s="346">
        <v>26.106798646061534</v>
      </c>
      <c r="T53" s="346">
        <v>24.526553116201807</v>
      </c>
      <c r="U53" s="346">
        <v>22.865261118006735</v>
      </c>
      <c r="V53" s="347">
        <v>20.077133060916765</v>
      </c>
      <c r="W53" s="348">
        <v>17.320677643052267</v>
      </c>
      <c r="X53" s="348">
        <v>14.046362048966175</v>
      </c>
      <c r="Y53" s="348">
        <v>9.7703218587496909</v>
      </c>
      <c r="Z53" s="348">
        <v>6.6209228694434383</v>
      </c>
    </row>
    <row r="54" spans="2:26" ht="14.5" thickBot="1" x14ac:dyDescent="0.4">
      <c r="B54" s="73"/>
      <c r="Q54" s="73"/>
      <c r="R54" s="73"/>
    </row>
    <row r="55" spans="2:26" ht="42.5" thickBot="1" x14ac:dyDescent="0.4">
      <c r="B55" s="206" t="str">
        <f>CONCATENATE("Table 7c: WC level - Alternative Programme  ",E35, " Totex")</f>
        <v>Table 7c: WC level - Alternative Programme  Ofwat Core Totex</v>
      </c>
      <c r="C55" s="150"/>
      <c r="D55" s="149"/>
      <c r="E55" s="85"/>
      <c r="F55" s="85"/>
      <c r="G55" s="85"/>
      <c r="H55" s="85"/>
      <c r="I55" s="85"/>
      <c r="J55" s="85"/>
      <c r="K55" s="85"/>
      <c r="L55" s="85"/>
      <c r="M55" s="1769" t="s">
        <v>1478</v>
      </c>
      <c r="N55" s="1770"/>
      <c r="O55" s="1770"/>
      <c r="P55" s="1770"/>
      <c r="Q55" s="1770"/>
      <c r="R55" s="1770"/>
      <c r="S55" s="1770"/>
      <c r="T55" s="1770"/>
      <c r="U55" s="1770"/>
      <c r="V55" s="1770"/>
      <c r="W55" s="1770"/>
      <c r="X55" s="1770"/>
      <c r="Y55" s="1770"/>
      <c r="Z55" s="1770"/>
    </row>
    <row r="56" spans="2:26" ht="28.5" thickBot="1" x14ac:dyDescent="0.4">
      <c r="B56" s="117" t="s">
        <v>65</v>
      </c>
      <c r="C56" s="118" t="s">
        <v>1509</v>
      </c>
      <c r="D56" s="118" t="s">
        <v>1510</v>
      </c>
      <c r="E56" s="118" t="s">
        <v>219</v>
      </c>
      <c r="F56" s="119" t="s">
        <v>220</v>
      </c>
      <c r="G56" s="131" t="s">
        <v>1480</v>
      </c>
      <c r="H56" s="120" t="s">
        <v>1481</v>
      </c>
      <c r="I56" s="120" t="s">
        <v>1482</v>
      </c>
      <c r="J56" s="120" t="s">
        <v>1483</v>
      </c>
      <c r="K56" s="120" t="s">
        <v>1484</v>
      </c>
      <c r="L56" s="121" t="s">
        <v>1485</v>
      </c>
      <c r="M56" s="132" t="s">
        <v>1486</v>
      </c>
      <c r="N56" s="132" t="s">
        <v>1487</v>
      </c>
      <c r="O56" s="132" t="s">
        <v>1488</v>
      </c>
      <c r="P56" s="132" t="s">
        <v>1489</v>
      </c>
      <c r="Q56" s="131" t="s">
        <v>1490</v>
      </c>
      <c r="R56" s="120" t="s">
        <v>1491</v>
      </c>
      <c r="S56" s="120" t="s">
        <v>1492</v>
      </c>
      <c r="T56" s="120" t="s">
        <v>1493</v>
      </c>
      <c r="U56" s="120" t="s">
        <v>1494</v>
      </c>
      <c r="V56" s="121" t="s">
        <v>1495</v>
      </c>
      <c r="W56" s="132" t="s">
        <v>1496</v>
      </c>
      <c r="X56" s="132" t="s">
        <v>1497</v>
      </c>
      <c r="Y56" s="132" t="s">
        <v>1498</v>
      </c>
      <c r="Z56" s="132" t="s">
        <v>1499</v>
      </c>
    </row>
    <row r="57" spans="2:26" x14ac:dyDescent="0.35">
      <c r="B57" s="257" t="s">
        <v>1511</v>
      </c>
      <c r="C57" s="258" t="s">
        <v>1512</v>
      </c>
      <c r="D57" s="258" t="s">
        <v>1513</v>
      </c>
      <c r="E57" s="258" t="s">
        <v>1514</v>
      </c>
      <c r="F57" s="300">
        <v>3</v>
      </c>
      <c r="G57" s="321">
        <v>0</v>
      </c>
      <c r="H57" s="322">
        <v>0</v>
      </c>
      <c r="I57" s="322">
        <v>0</v>
      </c>
      <c r="J57" s="322">
        <v>0</v>
      </c>
      <c r="K57" s="322">
        <v>0</v>
      </c>
      <c r="L57" s="323">
        <v>0</v>
      </c>
      <c r="M57" s="324">
        <v>0</v>
      </c>
      <c r="N57" s="324">
        <v>0</v>
      </c>
      <c r="O57" s="324">
        <v>0</v>
      </c>
      <c r="P57" s="324">
        <v>0</v>
      </c>
      <c r="Q57" s="333">
        <v>0</v>
      </c>
      <c r="R57" s="334">
        <v>0</v>
      </c>
      <c r="S57" s="334">
        <v>0</v>
      </c>
      <c r="T57" s="334">
        <v>0</v>
      </c>
      <c r="U57" s="334">
        <v>0</v>
      </c>
      <c r="V57" s="335">
        <v>0</v>
      </c>
      <c r="W57" s="335">
        <v>0</v>
      </c>
      <c r="X57" s="335">
        <v>0</v>
      </c>
      <c r="Y57" s="335">
        <v>0</v>
      </c>
      <c r="Z57" s="335">
        <v>0</v>
      </c>
    </row>
    <row r="58" spans="2:26" x14ac:dyDescent="0.35">
      <c r="B58" s="125" t="s">
        <v>1515</v>
      </c>
      <c r="C58" s="126" t="s">
        <v>1516</v>
      </c>
      <c r="D58" s="126" t="s">
        <v>1513</v>
      </c>
      <c r="E58" s="126" t="s">
        <v>1514</v>
      </c>
      <c r="F58" s="301">
        <v>3</v>
      </c>
      <c r="G58" s="325">
        <v>0</v>
      </c>
      <c r="H58" s="326">
        <v>0</v>
      </c>
      <c r="I58" s="326">
        <v>0</v>
      </c>
      <c r="J58" s="326">
        <v>0</v>
      </c>
      <c r="K58" s="326">
        <v>0</v>
      </c>
      <c r="L58" s="327">
        <v>0</v>
      </c>
      <c r="M58" s="328">
        <v>0</v>
      </c>
      <c r="N58" s="328">
        <v>0</v>
      </c>
      <c r="O58" s="328">
        <v>0</v>
      </c>
      <c r="P58" s="328">
        <v>0</v>
      </c>
      <c r="Q58" s="337">
        <v>0</v>
      </c>
      <c r="R58" s="338">
        <v>0</v>
      </c>
      <c r="S58" s="338">
        <v>0</v>
      </c>
      <c r="T58" s="338">
        <v>0</v>
      </c>
      <c r="U58" s="338">
        <v>0</v>
      </c>
      <c r="V58" s="339">
        <v>0</v>
      </c>
      <c r="W58" s="339">
        <v>0</v>
      </c>
      <c r="X58" s="339">
        <v>0</v>
      </c>
      <c r="Y58" s="339">
        <v>0</v>
      </c>
      <c r="Z58" s="339">
        <v>0</v>
      </c>
    </row>
    <row r="59" spans="2:26" ht="14.5" thickBot="1" x14ac:dyDescent="0.4">
      <c r="B59" s="128" t="s">
        <v>1517</v>
      </c>
      <c r="C59" s="129" t="s">
        <v>1518</v>
      </c>
      <c r="D59" s="129" t="s">
        <v>1513</v>
      </c>
      <c r="E59" s="129" t="s">
        <v>1514</v>
      </c>
      <c r="F59" s="302">
        <v>3</v>
      </c>
      <c r="G59" s="329">
        <v>0</v>
      </c>
      <c r="H59" s="330">
        <v>0</v>
      </c>
      <c r="I59" s="330">
        <v>0</v>
      </c>
      <c r="J59" s="330">
        <v>0</v>
      </c>
      <c r="K59" s="330">
        <v>0</v>
      </c>
      <c r="L59" s="331">
        <v>0</v>
      </c>
      <c r="M59" s="332">
        <v>0</v>
      </c>
      <c r="N59" s="332">
        <v>0</v>
      </c>
      <c r="O59" s="332">
        <v>0</v>
      </c>
      <c r="P59" s="332">
        <v>0</v>
      </c>
      <c r="Q59" s="345">
        <v>0</v>
      </c>
      <c r="R59" s="346">
        <v>0</v>
      </c>
      <c r="S59" s="346">
        <v>0</v>
      </c>
      <c r="T59" s="346">
        <v>0</v>
      </c>
      <c r="U59" s="346">
        <v>0</v>
      </c>
      <c r="V59" s="347">
        <v>0</v>
      </c>
      <c r="W59" s="347">
        <v>0</v>
      </c>
      <c r="X59" s="347">
        <v>0</v>
      </c>
      <c r="Y59" s="347">
        <v>0</v>
      </c>
      <c r="Z59" s="347">
        <v>0</v>
      </c>
    </row>
    <row r="60" spans="2:26" ht="14.5" thickBot="1" x14ac:dyDescent="0.4">
      <c r="R60" s="73"/>
      <c r="S60" s="73"/>
    </row>
    <row r="61" spans="2:26" ht="70.5" thickBot="1" x14ac:dyDescent="0.4">
      <c r="B61" s="206" t="str">
        <f>CONCATENATE("Table 7d: WC level - Alternative Programme  ",E35, " Enhancement Expenditure")</f>
        <v>Table 7d: WC level - Alternative Programme  Ofwat Core Enhancement Expenditure</v>
      </c>
      <c r="C61" s="150"/>
      <c r="D61" s="149"/>
      <c r="E61" s="149"/>
      <c r="F61" s="85"/>
      <c r="G61" s="85"/>
      <c r="H61" s="85"/>
      <c r="I61" s="85"/>
      <c r="J61" s="85"/>
      <c r="K61" s="85"/>
      <c r="L61" s="85"/>
      <c r="M61" s="1769" t="s">
        <v>1478</v>
      </c>
      <c r="N61" s="1770"/>
      <c r="O61" s="1770"/>
      <c r="P61" s="1770"/>
      <c r="Q61" s="1770"/>
      <c r="R61" s="1770"/>
      <c r="S61" s="1770"/>
      <c r="T61" s="1770"/>
      <c r="U61" s="1770"/>
      <c r="V61" s="1770"/>
      <c r="W61" s="1770"/>
      <c r="X61" s="1770"/>
      <c r="Y61" s="1770"/>
      <c r="Z61" s="1770"/>
    </row>
    <row r="62" spans="2:26" ht="28.5" thickBot="1" x14ac:dyDescent="0.4">
      <c r="B62" s="117" t="s">
        <v>65</v>
      </c>
      <c r="C62" s="118" t="s">
        <v>1509</v>
      </c>
      <c r="D62" s="118" t="s">
        <v>1510</v>
      </c>
      <c r="E62" s="118" t="s">
        <v>219</v>
      </c>
      <c r="F62" s="119" t="s">
        <v>220</v>
      </c>
      <c r="G62" s="131" t="s">
        <v>1480</v>
      </c>
      <c r="H62" s="120" t="s">
        <v>1481</v>
      </c>
      <c r="I62" s="120" t="s">
        <v>1482</v>
      </c>
      <c r="J62" s="120" t="s">
        <v>1483</v>
      </c>
      <c r="K62" s="120" t="s">
        <v>1484</v>
      </c>
      <c r="L62" s="121" t="s">
        <v>1485</v>
      </c>
      <c r="M62" s="132" t="s">
        <v>1486</v>
      </c>
      <c r="N62" s="132" t="s">
        <v>1487</v>
      </c>
      <c r="O62" s="132" t="s">
        <v>1488</v>
      </c>
      <c r="P62" s="132" t="s">
        <v>1489</v>
      </c>
      <c r="Q62" s="131" t="s">
        <v>1490</v>
      </c>
      <c r="R62" s="120" t="s">
        <v>1491</v>
      </c>
      <c r="S62" s="120" t="s">
        <v>1492</v>
      </c>
      <c r="T62" s="120" t="s">
        <v>1493</v>
      </c>
      <c r="U62" s="120" t="s">
        <v>1494</v>
      </c>
      <c r="V62" s="121" t="s">
        <v>1495</v>
      </c>
      <c r="W62" s="132" t="s">
        <v>1496</v>
      </c>
      <c r="X62" s="132" t="s">
        <v>1497</v>
      </c>
      <c r="Y62" s="132" t="s">
        <v>1498</v>
      </c>
      <c r="Z62" s="132" t="s">
        <v>1499</v>
      </c>
    </row>
    <row r="63" spans="2:26" x14ac:dyDescent="0.35">
      <c r="B63" s="257" t="s">
        <v>1519</v>
      </c>
      <c r="C63" s="258" t="s">
        <v>1520</v>
      </c>
      <c r="D63" s="258" t="s">
        <v>1322</v>
      </c>
      <c r="E63" s="258" t="s">
        <v>1514</v>
      </c>
      <c r="F63" s="300">
        <v>3</v>
      </c>
      <c r="G63" s="321">
        <v>0</v>
      </c>
      <c r="H63" s="322">
        <v>8.1452237020866143</v>
      </c>
      <c r="I63" s="322">
        <v>13.712186811817269</v>
      </c>
      <c r="J63" s="322">
        <v>20.098542144946183</v>
      </c>
      <c r="K63" s="322">
        <v>22.681376293363186</v>
      </c>
      <c r="L63" s="323">
        <v>167.32994519086841</v>
      </c>
      <c r="M63" s="324">
        <v>944.73595524311224</v>
      </c>
      <c r="N63" s="324">
        <v>143.58462658997212</v>
      </c>
      <c r="O63" s="324">
        <v>2.7275</v>
      </c>
      <c r="P63" s="324">
        <v>7.96</v>
      </c>
      <c r="Q63" s="333">
        <v>7.1287220691794069</v>
      </c>
      <c r="R63" s="334">
        <v>21.276563146806225</v>
      </c>
      <c r="S63" s="334">
        <v>7.621905238056911</v>
      </c>
      <c r="T63" s="334">
        <v>33.468163410488813</v>
      </c>
      <c r="U63" s="334">
        <v>259.84035404684238</v>
      </c>
      <c r="V63" s="335">
        <v>23.968520289458272</v>
      </c>
      <c r="W63" s="336">
        <v>33.468163410488813</v>
      </c>
      <c r="X63" s="336">
        <v>259.84035404684238</v>
      </c>
      <c r="Y63" s="336">
        <v>23.968520289458272</v>
      </c>
      <c r="Z63" s="336">
        <v>33.468163410488813</v>
      </c>
    </row>
    <row r="64" spans="2:26" x14ac:dyDescent="0.35">
      <c r="B64" s="125" t="s">
        <v>1521</v>
      </c>
      <c r="C64" s="126" t="s">
        <v>1520</v>
      </c>
      <c r="D64" s="126" t="s">
        <v>1317</v>
      </c>
      <c r="E64" s="126" t="s">
        <v>1514</v>
      </c>
      <c r="F64" s="301">
        <v>3</v>
      </c>
      <c r="G64" s="325">
        <v>0</v>
      </c>
      <c r="H64" s="326">
        <v>2.1905000000000001</v>
      </c>
      <c r="I64" s="326">
        <v>2.1905000000000001</v>
      </c>
      <c r="J64" s="326">
        <v>2.1905000000000001</v>
      </c>
      <c r="K64" s="326">
        <v>2.1905000000000001</v>
      </c>
      <c r="L64" s="327">
        <v>2.1905000000000001</v>
      </c>
      <c r="M64" s="328">
        <v>38.474717483065049</v>
      </c>
      <c r="N64" s="328">
        <v>81.529225132740507</v>
      </c>
      <c r="O64" s="328">
        <v>88.112229244077923</v>
      </c>
      <c r="P64" s="328">
        <v>86.949729244077929</v>
      </c>
      <c r="Q64" s="337">
        <v>48.891454330327917</v>
      </c>
      <c r="R64" s="338">
        <v>56.427109313077921</v>
      </c>
      <c r="S64" s="338">
        <v>56.427109313077921</v>
      </c>
      <c r="T64" s="338">
        <v>56.427109313077921</v>
      </c>
      <c r="U64" s="338">
        <v>56.388475398304635</v>
      </c>
      <c r="V64" s="339">
        <v>56.427109313077921</v>
      </c>
      <c r="W64" s="340">
        <v>56.427109313077921</v>
      </c>
      <c r="X64" s="340">
        <v>56.388475398304635</v>
      </c>
      <c r="Y64" s="340">
        <v>56.427109313077921</v>
      </c>
      <c r="Z64" s="340">
        <v>56.427109313077921</v>
      </c>
    </row>
    <row r="65" spans="2:26" ht="14.5" thickBot="1" x14ac:dyDescent="0.4">
      <c r="B65" s="128" t="s">
        <v>1522</v>
      </c>
      <c r="C65" s="129" t="s">
        <v>1520</v>
      </c>
      <c r="D65" s="129" t="s">
        <v>1513</v>
      </c>
      <c r="E65" s="129" t="s">
        <v>1514</v>
      </c>
      <c r="F65" s="302">
        <v>3</v>
      </c>
      <c r="G65" s="329">
        <v>0</v>
      </c>
      <c r="H65" s="330">
        <v>10.335723702086614</v>
      </c>
      <c r="I65" s="330">
        <v>15.902686811817269</v>
      </c>
      <c r="J65" s="330">
        <v>22.289042144946183</v>
      </c>
      <c r="K65" s="330">
        <v>24.871876293363187</v>
      </c>
      <c r="L65" s="331">
        <v>169.52044519086843</v>
      </c>
      <c r="M65" s="332">
        <v>983.21067272617734</v>
      </c>
      <c r="N65" s="332">
        <v>225.11385172271264</v>
      </c>
      <c r="O65" s="332">
        <v>90.83972924407793</v>
      </c>
      <c r="P65" s="332">
        <v>94.909729244077923</v>
      </c>
      <c r="Q65" s="345">
        <v>56.020176399507321</v>
      </c>
      <c r="R65" s="346">
        <v>77.703672459884146</v>
      </c>
      <c r="S65" s="346">
        <v>64.049014551134832</v>
      </c>
      <c r="T65" s="346">
        <v>89.895272723566734</v>
      </c>
      <c r="U65" s="346">
        <v>316.22882944514703</v>
      </c>
      <c r="V65" s="347">
        <v>80.395629602536189</v>
      </c>
      <c r="W65" s="348">
        <v>89.895272723566734</v>
      </c>
      <c r="X65" s="348">
        <v>316.22882944514703</v>
      </c>
      <c r="Y65" s="348">
        <v>80.395629602536189</v>
      </c>
      <c r="Z65" s="348">
        <v>89.895272723566734</v>
      </c>
    </row>
    <row r="67" spans="2:26" ht="14.5" thickBot="1" x14ac:dyDescent="0.4"/>
    <row r="68" spans="2:26" ht="28.5" thickBot="1" x14ac:dyDescent="0.4">
      <c r="B68" s="111" t="s">
        <v>60</v>
      </c>
      <c r="C68" s="69" t="str">
        <f>'TITLE PAGE'!$D$18</f>
        <v>Cambridge Water</v>
      </c>
      <c r="D68" s="112" t="s">
        <v>1465</v>
      </c>
      <c r="E68" s="70" t="s">
        <v>1526</v>
      </c>
      <c r="F68" s="111" t="s">
        <v>1467</v>
      </c>
      <c r="G68" s="70" t="s">
        <v>1527</v>
      </c>
      <c r="H68" s="113" t="s">
        <v>214</v>
      </c>
      <c r="I68" s="70" t="s">
        <v>1468</v>
      </c>
    </row>
    <row r="69" spans="2:26" ht="42.5" thickBot="1" x14ac:dyDescent="0.4">
      <c r="B69" s="112" t="s">
        <v>1469</v>
      </c>
      <c r="C69" s="1780" t="s">
        <v>1528</v>
      </c>
      <c r="D69" s="1781"/>
      <c r="E69" s="1781"/>
      <c r="F69" s="1781"/>
      <c r="G69" s="1781"/>
      <c r="H69" s="1781"/>
      <c r="I69" s="1782"/>
    </row>
    <row r="70" spans="2:26" ht="42.5" thickBot="1" x14ac:dyDescent="0.4">
      <c r="B70" s="112" t="s">
        <v>1471</v>
      </c>
      <c r="C70" s="1777" t="s">
        <v>1529</v>
      </c>
      <c r="D70" s="1778"/>
      <c r="E70" s="1778"/>
      <c r="F70" s="1778"/>
      <c r="G70" s="1778"/>
      <c r="H70" s="1778"/>
      <c r="I70" s="1779"/>
    </row>
    <row r="71" spans="2:26" ht="75.650000000000006" customHeight="1" thickBot="1" x14ac:dyDescent="0.4">
      <c r="B71" s="112" t="s">
        <v>1474</v>
      </c>
      <c r="C71" s="1777" t="s">
        <v>1530</v>
      </c>
      <c r="D71" s="1778"/>
      <c r="E71" s="1778"/>
      <c r="F71" s="1778"/>
      <c r="G71" s="1778"/>
      <c r="H71" s="1778"/>
      <c r="I71" s="1779"/>
    </row>
    <row r="72" spans="2:26" ht="56.5" thickBot="1" x14ac:dyDescent="0.4">
      <c r="B72" s="71" t="s">
        <v>1525</v>
      </c>
      <c r="C72" s="114"/>
      <c r="D72" s="72" t="s">
        <v>1476</v>
      </c>
      <c r="E72" s="114"/>
      <c r="F72" s="115" t="s">
        <v>1477</v>
      </c>
      <c r="G72" s="116"/>
      <c r="H72" s="115" t="s">
        <v>2</v>
      </c>
      <c r="I72" s="116"/>
    </row>
    <row r="73" spans="2:26" ht="14.5" thickBot="1" x14ac:dyDescent="0.4"/>
    <row r="74" spans="2:26" ht="42.5" thickBot="1" x14ac:dyDescent="0.4">
      <c r="B74" s="206" t="str">
        <f>CONCATENATE("Table 7a: WC level - Alternative Programme ",E68, " Baseline SDB")</f>
        <v>Table 7a: WC level - Alternative Programme  [specify] Baseline SDB</v>
      </c>
      <c r="M74" s="1769" t="s">
        <v>1478</v>
      </c>
      <c r="N74" s="1770"/>
      <c r="O74" s="1770"/>
      <c r="P74" s="1770"/>
      <c r="Q74" s="1770"/>
      <c r="R74" s="1770"/>
      <c r="S74" s="1770"/>
      <c r="T74" s="1770"/>
      <c r="U74" s="1770"/>
      <c r="V74" s="1770"/>
      <c r="W74" s="1770"/>
      <c r="X74" s="1770"/>
      <c r="Y74" s="1770"/>
      <c r="Z74" s="1770"/>
    </row>
    <row r="75" spans="2:26" ht="28.5" thickBot="1" x14ac:dyDescent="0.4">
      <c r="B75" s="117" t="s">
        <v>65</v>
      </c>
      <c r="C75" s="118" t="s">
        <v>1479</v>
      </c>
      <c r="D75" s="1771" t="s">
        <v>219</v>
      </c>
      <c r="E75" s="1772"/>
      <c r="F75" s="119" t="s">
        <v>220</v>
      </c>
      <c r="G75" s="131" t="s">
        <v>1480</v>
      </c>
      <c r="H75" s="120" t="s">
        <v>1481</v>
      </c>
      <c r="I75" s="120" t="s">
        <v>1482</v>
      </c>
      <c r="J75" s="120" t="s">
        <v>1483</v>
      </c>
      <c r="K75" s="120" t="s">
        <v>1484</v>
      </c>
      <c r="L75" s="121" t="s">
        <v>1485</v>
      </c>
      <c r="M75" s="132" t="s">
        <v>1486</v>
      </c>
      <c r="N75" s="132" t="s">
        <v>1487</v>
      </c>
      <c r="O75" s="132" t="s">
        <v>1488</v>
      </c>
      <c r="P75" s="132" t="s">
        <v>1489</v>
      </c>
      <c r="Q75" s="131" t="s">
        <v>1490</v>
      </c>
      <c r="R75" s="120" t="s">
        <v>1491</v>
      </c>
      <c r="S75" s="120" t="s">
        <v>1492</v>
      </c>
      <c r="T75" s="120" t="s">
        <v>1493</v>
      </c>
      <c r="U75" s="120" t="s">
        <v>1494</v>
      </c>
      <c r="V75" s="121" t="s">
        <v>1495</v>
      </c>
      <c r="W75" s="132" t="s">
        <v>1496</v>
      </c>
      <c r="X75" s="132" t="s">
        <v>1497</v>
      </c>
      <c r="Y75" s="132" t="s">
        <v>1498</v>
      </c>
      <c r="Z75" s="132" t="s">
        <v>1499</v>
      </c>
    </row>
    <row r="76" spans="2:26" x14ac:dyDescent="0.35">
      <c r="B76" s="122" t="s">
        <v>1500</v>
      </c>
      <c r="C76" s="123" t="s">
        <v>1448</v>
      </c>
      <c r="D76" s="1773" t="s">
        <v>305</v>
      </c>
      <c r="E76" s="1774"/>
      <c r="F76" s="124">
        <v>2</v>
      </c>
      <c r="G76" s="333"/>
      <c r="H76" s="334"/>
      <c r="I76" s="334"/>
      <c r="J76" s="334"/>
      <c r="K76" s="334"/>
      <c r="L76" s="335"/>
      <c r="M76" s="336"/>
      <c r="N76" s="336"/>
      <c r="O76" s="336"/>
      <c r="P76" s="336"/>
      <c r="Q76" s="333"/>
      <c r="R76" s="334"/>
      <c r="S76" s="334"/>
      <c r="T76" s="334"/>
      <c r="U76" s="334"/>
      <c r="V76" s="335"/>
      <c r="W76" s="336"/>
      <c r="X76" s="336"/>
      <c r="Y76" s="336"/>
      <c r="Z76" s="336"/>
    </row>
    <row r="77" spans="2:26" x14ac:dyDescent="0.35">
      <c r="B77" s="125" t="s">
        <v>1501</v>
      </c>
      <c r="C77" s="126" t="s">
        <v>345</v>
      </c>
      <c r="D77" s="1775" t="s">
        <v>305</v>
      </c>
      <c r="E77" s="1776"/>
      <c r="F77" s="127">
        <v>2</v>
      </c>
      <c r="G77" s="337"/>
      <c r="H77" s="338"/>
      <c r="I77" s="338"/>
      <c r="J77" s="338"/>
      <c r="K77" s="338"/>
      <c r="L77" s="339"/>
      <c r="M77" s="340"/>
      <c r="N77" s="340"/>
      <c r="O77" s="340"/>
      <c r="P77" s="340"/>
      <c r="Q77" s="337"/>
      <c r="R77" s="338"/>
      <c r="S77" s="338"/>
      <c r="T77" s="338"/>
      <c r="U77" s="338"/>
      <c r="V77" s="339"/>
      <c r="W77" s="340"/>
      <c r="X77" s="340"/>
      <c r="Y77" s="340"/>
      <c r="Z77" s="340"/>
    </row>
    <row r="78" spans="2:26" x14ac:dyDescent="0.35">
      <c r="B78" s="208" t="s">
        <v>1502</v>
      </c>
      <c r="C78" s="209" t="s">
        <v>462</v>
      </c>
      <c r="D78" s="1775" t="s">
        <v>305</v>
      </c>
      <c r="E78" s="1776"/>
      <c r="F78" s="127">
        <v>2</v>
      </c>
      <c r="G78" s="341"/>
      <c r="H78" s="342"/>
      <c r="I78" s="342"/>
      <c r="J78" s="342"/>
      <c r="K78" s="342"/>
      <c r="L78" s="343"/>
      <c r="M78" s="344"/>
      <c r="N78" s="344"/>
      <c r="O78" s="344"/>
      <c r="P78" s="344"/>
      <c r="Q78" s="341"/>
      <c r="R78" s="342"/>
      <c r="S78" s="342"/>
      <c r="T78" s="342"/>
      <c r="U78" s="342"/>
      <c r="V78" s="343"/>
      <c r="W78" s="344"/>
      <c r="X78" s="344"/>
      <c r="Y78" s="344"/>
      <c r="Z78" s="344"/>
    </row>
    <row r="79" spans="2:26" ht="14.5" thickBot="1" x14ac:dyDescent="0.4">
      <c r="B79" s="128" t="s">
        <v>1503</v>
      </c>
      <c r="C79" s="129" t="s">
        <v>471</v>
      </c>
      <c r="D79" s="1767" t="s">
        <v>305</v>
      </c>
      <c r="E79" s="1768"/>
      <c r="F79" s="130">
        <v>2</v>
      </c>
      <c r="G79" s="345"/>
      <c r="H79" s="346"/>
      <c r="I79" s="346"/>
      <c r="J79" s="346"/>
      <c r="K79" s="346"/>
      <c r="L79" s="347"/>
      <c r="M79" s="348"/>
      <c r="N79" s="348"/>
      <c r="O79" s="348"/>
      <c r="P79" s="348"/>
      <c r="Q79" s="345"/>
      <c r="R79" s="346"/>
      <c r="S79" s="346"/>
      <c r="T79" s="346"/>
      <c r="U79" s="346"/>
      <c r="V79" s="347"/>
      <c r="W79" s="348"/>
      <c r="X79" s="348"/>
      <c r="Y79" s="348"/>
      <c r="Z79" s="348"/>
    </row>
    <row r="80" spans="2:26" ht="14.5" thickBot="1" x14ac:dyDescent="0.4">
      <c r="B80" s="148"/>
      <c r="C80" s="76"/>
      <c r="D80" s="76"/>
      <c r="E80" s="76"/>
      <c r="Q80" s="73"/>
      <c r="R80" s="73"/>
    </row>
    <row r="81" spans="2:26" ht="42.5" thickBot="1" x14ac:dyDescent="0.4">
      <c r="B81" s="206" t="str">
        <f>CONCATENATE("Table 7b: WC level - Alternative Programme  ",E68, " Final Plan SDB")</f>
        <v>Table 7b: WC level - Alternative Programme   [specify] Final Plan SDB</v>
      </c>
      <c r="C81" s="150"/>
      <c r="D81" s="149"/>
      <c r="E81" s="149"/>
      <c r="F81" s="85"/>
      <c r="G81" s="85"/>
      <c r="H81" s="85"/>
      <c r="I81" s="85"/>
      <c r="J81" s="85"/>
      <c r="K81" s="85"/>
      <c r="L81" s="85"/>
      <c r="M81" s="1769" t="s">
        <v>1478</v>
      </c>
      <c r="N81" s="1770"/>
      <c r="O81" s="1770"/>
      <c r="P81" s="1770"/>
      <c r="Q81" s="1770"/>
      <c r="R81" s="1770"/>
      <c r="S81" s="1770"/>
      <c r="T81" s="1770"/>
      <c r="U81" s="1770"/>
      <c r="V81" s="1770"/>
      <c r="W81" s="1770"/>
      <c r="X81" s="1770"/>
      <c r="Y81" s="1770"/>
      <c r="Z81" s="1770"/>
    </row>
    <row r="82" spans="2:26" ht="28.5" thickBot="1" x14ac:dyDescent="0.4">
      <c r="B82" s="410" t="s">
        <v>65</v>
      </c>
      <c r="C82" s="411" t="s">
        <v>1504</v>
      </c>
      <c r="D82" s="1771" t="s">
        <v>219</v>
      </c>
      <c r="E82" s="1772"/>
      <c r="F82" s="412" t="s">
        <v>220</v>
      </c>
      <c r="G82" s="413" t="s">
        <v>1480</v>
      </c>
      <c r="H82" s="414" t="s">
        <v>1481</v>
      </c>
      <c r="I82" s="414" t="s">
        <v>1482</v>
      </c>
      <c r="J82" s="414" t="s">
        <v>1483</v>
      </c>
      <c r="K82" s="414" t="s">
        <v>1484</v>
      </c>
      <c r="L82" s="415" t="s">
        <v>1485</v>
      </c>
      <c r="M82" s="416" t="s">
        <v>1486</v>
      </c>
      <c r="N82" s="416" t="s">
        <v>1487</v>
      </c>
      <c r="O82" s="416" t="s">
        <v>1488</v>
      </c>
      <c r="P82" s="416" t="s">
        <v>1489</v>
      </c>
      <c r="Q82" s="131" t="s">
        <v>1490</v>
      </c>
      <c r="R82" s="120" t="s">
        <v>1491</v>
      </c>
      <c r="S82" s="120" t="s">
        <v>1492</v>
      </c>
      <c r="T82" s="120" t="s">
        <v>1493</v>
      </c>
      <c r="U82" s="120" t="s">
        <v>1494</v>
      </c>
      <c r="V82" s="121" t="s">
        <v>1495</v>
      </c>
      <c r="W82" s="132" t="s">
        <v>1496</v>
      </c>
      <c r="X82" s="132" t="s">
        <v>1497</v>
      </c>
      <c r="Y82" s="132" t="s">
        <v>1498</v>
      </c>
      <c r="Z82" s="132" t="s">
        <v>1499</v>
      </c>
    </row>
    <row r="83" spans="2:26" x14ac:dyDescent="0.35">
      <c r="B83" s="390" t="s">
        <v>1505</v>
      </c>
      <c r="C83" s="391" t="s">
        <v>1448</v>
      </c>
      <c r="D83" s="1773" t="s">
        <v>305</v>
      </c>
      <c r="E83" s="1774"/>
      <c r="F83" s="392">
        <v>2</v>
      </c>
      <c r="G83" s="393"/>
      <c r="H83" s="394"/>
      <c r="I83" s="394"/>
      <c r="J83" s="394"/>
      <c r="K83" s="394"/>
      <c r="L83" s="395"/>
      <c r="M83" s="396"/>
      <c r="N83" s="396"/>
      <c r="O83" s="396"/>
      <c r="P83" s="397"/>
      <c r="Q83" s="333"/>
      <c r="R83" s="334"/>
      <c r="S83" s="334"/>
      <c r="T83" s="334"/>
      <c r="U83" s="334"/>
      <c r="V83" s="335"/>
      <c r="W83" s="336"/>
      <c r="X83" s="336"/>
      <c r="Y83" s="336"/>
      <c r="Z83" s="336"/>
    </row>
    <row r="84" spans="2:26" x14ac:dyDescent="0.35">
      <c r="B84" s="398" t="s">
        <v>1506</v>
      </c>
      <c r="C84" s="126" t="s">
        <v>345</v>
      </c>
      <c r="D84" s="1775" t="s">
        <v>305</v>
      </c>
      <c r="E84" s="1776"/>
      <c r="F84" s="127">
        <v>2</v>
      </c>
      <c r="G84" s="337"/>
      <c r="H84" s="338"/>
      <c r="I84" s="338"/>
      <c r="J84" s="338"/>
      <c r="K84" s="338"/>
      <c r="L84" s="339"/>
      <c r="M84" s="340"/>
      <c r="N84" s="340"/>
      <c r="O84" s="340"/>
      <c r="P84" s="399"/>
      <c r="Q84" s="337"/>
      <c r="R84" s="338"/>
      <c r="S84" s="338"/>
      <c r="T84" s="338"/>
      <c r="U84" s="338"/>
      <c r="V84" s="339"/>
      <c r="W84" s="340"/>
      <c r="X84" s="340"/>
      <c r="Y84" s="340"/>
      <c r="Z84" s="340"/>
    </row>
    <row r="85" spans="2:26" x14ac:dyDescent="0.35">
      <c r="B85" s="400" t="s">
        <v>1507</v>
      </c>
      <c r="C85" s="209" t="s">
        <v>462</v>
      </c>
      <c r="D85" s="1775" t="s">
        <v>305</v>
      </c>
      <c r="E85" s="1776"/>
      <c r="F85" s="127">
        <v>2</v>
      </c>
      <c r="G85" s="341"/>
      <c r="H85" s="342"/>
      <c r="I85" s="342"/>
      <c r="J85" s="342"/>
      <c r="K85" s="342"/>
      <c r="L85" s="343"/>
      <c r="M85" s="344"/>
      <c r="N85" s="344"/>
      <c r="O85" s="344"/>
      <c r="P85" s="401"/>
      <c r="Q85" s="341"/>
      <c r="R85" s="342"/>
      <c r="S85" s="342"/>
      <c r="T85" s="342"/>
      <c r="U85" s="342"/>
      <c r="V85" s="343"/>
      <c r="W85" s="344"/>
      <c r="X85" s="344"/>
      <c r="Y85" s="344"/>
      <c r="Z85" s="344"/>
    </row>
    <row r="86" spans="2:26" ht="14.5" thickBot="1" x14ac:dyDescent="0.4">
      <c r="B86" s="402" t="s">
        <v>1508</v>
      </c>
      <c r="C86" s="403" t="s">
        <v>471</v>
      </c>
      <c r="D86" s="1767" t="s">
        <v>305</v>
      </c>
      <c r="E86" s="1768"/>
      <c r="F86" s="404">
        <v>2</v>
      </c>
      <c r="G86" s="405"/>
      <c r="H86" s="406"/>
      <c r="I86" s="406"/>
      <c r="J86" s="406"/>
      <c r="K86" s="406"/>
      <c r="L86" s="407"/>
      <c r="M86" s="408"/>
      <c r="N86" s="408"/>
      <c r="O86" s="408"/>
      <c r="P86" s="409"/>
      <c r="Q86" s="345"/>
      <c r="R86" s="346"/>
      <c r="S86" s="346"/>
      <c r="T86" s="346"/>
      <c r="U86" s="346"/>
      <c r="V86" s="347"/>
      <c r="W86" s="348"/>
      <c r="X86" s="348"/>
      <c r="Y86" s="348"/>
      <c r="Z86" s="348"/>
    </row>
    <row r="87" spans="2:26" ht="14.5" thickBot="1" x14ac:dyDescent="0.4">
      <c r="B87" s="73"/>
      <c r="Q87" s="73"/>
      <c r="R87" s="73"/>
    </row>
    <row r="88" spans="2:26" ht="42.5" thickBot="1" x14ac:dyDescent="0.4">
      <c r="B88" s="206" t="str">
        <f>CONCATENATE("Table 7c: WC level - Alternative Programme  ",E68, " Totex")</f>
        <v>Table 7c: WC level - Alternative Programme   [specify] Totex</v>
      </c>
      <c r="C88" s="150"/>
      <c r="D88" s="149"/>
      <c r="E88" s="85"/>
      <c r="F88" s="85"/>
      <c r="G88" s="85"/>
      <c r="H88" s="85"/>
      <c r="I88" s="85"/>
      <c r="J88" s="85"/>
      <c r="K88" s="85"/>
      <c r="L88" s="85"/>
      <c r="M88" s="1769" t="s">
        <v>1478</v>
      </c>
      <c r="N88" s="1770"/>
      <c r="O88" s="1770"/>
      <c r="P88" s="1770"/>
      <c r="Q88" s="1770"/>
      <c r="R88" s="1770"/>
      <c r="S88" s="1770"/>
      <c r="T88" s="1770"/>
      <c r="U88" s="1770"/>
      <c r="V88" s="1770"/>
      <c r="W88" s="1770"/>
      <c r="X88" s="1770"/>
      <c r="Y88" s="1770"/>
      <c r="Z88" s="1770"/>
    </row>
    <row r="89" spans="2:26" ht="28.5" thickBot="1" x14ac:dyDescent="0.4">
      <c r="B89" s="117" t="s">
        <v>65</v>
      </c>
      <c r="C89" s="118" t="s">
        <v>1509</v>
      </c>
      <c r="D89" s="118" t="s">
        <v>1510</v>
      </c>
      <c r="E89" s="118" t="s">
        <v>219</v>
      </c>
      <c r="F89" s="119" t="s">
        <v>220</v>
      </c>
      <c r="G89" s="131" t="s">
        <v>1480</v>
      </c>
      <c r="H89" s="120" t="s">
        <v>1481</v>
      </c>
      <c r="I89" s="120" t="s">
        <v>1482</v>
      </c>
      <c r="J89" s="120" t="s">
        <v>1483</v>
      </c>
      <c r="K89" s="120" t="s">
        <v>1484</v>
      </c>
      <c r="L89" s="121" t="s">
        <v>1485</v>
      </c>
      <c r="M89" s="132" t="s">
        <v>1486</v>
      </c>
      <c r="N89" s="132" t="s">
        <v>1487</v>
      </c>
      <c r="O89" s="132" t="s">
        <v>1488</v>
      </c>
      <c r="P89" s="132" t="s">
        <v>1489</v>
      </c>
      <c r="Q89" s="131" t="s">
        <v>1490</v>
      </c>
      <c r="R89" s="120" t="s">
        <v>1491</v>
      </c>
      <c r="S89" s="120" t="s">
        <v>1492</v>
      </c>
      <c r="T89" s="120" t="s">
        <v>1493</v>
      </c>
      <c r="U89" s="120" t="s">
        <v>1494</v>
      </c>
      <c r="V89" s="121" t="s">
        <v>1495</v>
      </c>
      <c r="W89" s="132" t="s">
        <v>1496</v>
      </c>
      <c r="X89" s="132" t="s">
        <v>1497</v>
      </c>
      <c r="Y89" s="132" t="s">
        <v>1498</v>
      </c>
      <c r="Z89" s="132" t="s">
        <v>1499</v>
      </c>
    </row>
    <row r="90" spans="2:26" x14ac:dyDescent="0.35">
      <c r="B90" s="257" t="s">
        <v>1511</v>
      </c>
      <c r="C90" s="258" t="s">
        <v>1512</v>
      </c>
      <c r="D90" s="258" t="s">
        <v>1513</v>
      </c>
      <c r="E90" s="258" t="s">
        <v>1514</v>
      </c>
      <c r="F90" s="300">
        <v>3</v>
      </c>
      <c r="G90" s="321"/>
      <c r="H90" s="322"/>
      <c r="I90" s="322"/>
      <c r="J90" s="322"/>
      <c r="K90" s="322"/>
      <c r="L90" s="323"/>
      <c r="M90" s="324"/>
      <c r="N90" s="324"/>
      <c r="O90" s="324"/>
      <c r="P90" s="324"/>
      <c r="Q90" s="333"/>
      <c r="R90" s="334"/>
      <c r="S90" s="334"/>
      <c r="T90" s="334"/>
      <c r="U90" s="334"/>
      <c r="V90" s="335"/>
      <c r="W90" s="336"/>
      <c r="X90" s="336"/>
      <c r="Y90" s="336"/>
      <c r="Z90" s="336"/>
    </row>
    <row r="91" spans="2:26" x14ac:dyDescent="0.35">
      <c r="B91" s="125" t="s">
        <v>1515</v>
      </c>
      <c r="C91" s="126" t="s">
        <v>1516</v>
      </c>
      <c r="D91" s="126" t="s">
        <v>1513</v>
      </c>
      <c r="E91" s="126" t="s">
        <v>1514</v>
      </c>
      <c r="F91" s="301">
        <v>3</v>
      </c>
      <c r="G91" s="325"/>
      <c r="H91" s="326"/>
      <c r="I91" s="326"/>
      <c r="J91" s="326"/>
      <c r="K91" s="326"/>
      <c r="L91" s="327"/>
      <c r="M91" s="328"/>
      <c r="N91" s="328"/>
      <c r="O91" s="328"/>
      <c r="P91" s="328"/>
      <c r="Q91" s="337"/>
      <c r="R91" s="338"/>
      <c r="S91" s="338"/>
      <c r="T91" s="338"/>
      <c r="U91" s="338"/>
      <c r="V91" s="339"/>
      <c r="W91" s="340"/>
      <c r="X91" s="340"/>
      <c r="Y91" s="340"/>
      <c r="Z91" s="340"/>
    </row>
    <row r="92" spans="2:26" ht="14.5" thickBot="1" x14ac:dyDescent="0.4">
      <c r="B92" s="128" t="s">
        <v>1517</v>
      </c>
      <c r="C92" s="129" t="s">
        <v>1518</v>
      </c>
      <c r="D92" s="129" t="s">
        <v>1513</v>
      </c>
      <c r="E92" s="129" t="s">
        <v>1514</v>
      </c>
      <c r="F92" s="302">
        <v>3</v>
      </c>
      <c r="G92" s="329"/>
      <c r="H92" s="330"/>
      <c r="I92" s="330"/>
      <c r="J92" s="330"/>
      <c r="K92" s="330"/>
      <c r="L92" s="331"/>
      <c r="M92" s="332"/>
      <c r="N92" s="332"/>
      <c r="O92" s="332"/>
      <c r="P92" s="332"/>
      <c r="Q92" s="345"/>
      <c r="R92" s="346"/>
      <c r="S92" s="346"/>
      <c r="T92" s="346"/>
      <c r="U92" s="346"/>
      <c r="V92" s="347"/>
      <c r="W92" s="348"/>
      <c r="X92" s="348"/>
      <c r="Y92" s="348"/>
      <c r="Z92" s="348"/>
    </row>
    <row r="93" spans="2:26" ht="14.5" thickBot="1" x14ac:dyDescent="0.4">
      <c r="R93" s="73"/>
      <c r="S93" s="73"/>
    </row>
    <row r="94" spans="2:26" ht="56.5" thickBot="1" x14ac:dyDescent="0.4">
      <c r="B94" s="206" t="str">
        <f>CONCATENATE("Table 7d: WC level - Alternative Programme  ",E68, " Enhancement Expenditure")</f>
        <v>Table 7d: WC level - Alternative Programme   [specify] Enhancement Expenditure</v>
      </c>
      <c r="C94" s="150"/>
      <c r="D94" s="149"/>
      <c r="E94" s="149"/>
      <c r="F94" s="85"/>
      <c r="G94" s="85"/>
      <c r="H94" s="85"/>
      <c r="I94" s="85"/>
      <c r="J94" s="85"/>
      <c r="K94" s="85"/>
      <c r="L94" s="85"/>
      <c r="M94" s="1769" t="s">
        <v>1478</v>
      </c>
      <c r="N94" s="1770"/>
      <c r="O94" s="1770"/>
      <c r="P94" s="1770"/>
      <c r="Q94" s="1770"/>
      <c r="R94" s="1770"/>
      <c r="S94" s="1770"/>
      <c r="T94" s="1770"/>
      <c r="U94" s="1770"/>
      <c r="V94" s="1770"/>
      <c r="W94" s="1770"/>
      <c r="X94" s="1770"/>
      <c r="Y94" s="1770"/>
      <c r="Z94" s="1770"/>
    </row>
    <row r="95" spans="2:26" ht="28.5" thickBot="1" x14ac:dyDescent="0.4">
      <c r="B95" s="117" t="s">
        <v>65</v>
      </c>
      <c r="C95" s="118" t="s">
        <v>1509</v>
      </c>
      <c r="D95" s="118" t="s">
        <v>1510</v>
      </c>
      <c r="E95" s="118" t="s">
        <v>219</v>
      </c>
      <c r="F95" s="119" t="s">
        <v>220</v>
      </c>
      <c r="G95" s="131" t="s">
        <v>1480</v>
      </c>
      <c r="H95" s="120" t="s">
        <v>1481</v>
      </c>
      <c r="I95" s="120" t="s">
        <v>1482</v>
      </c>
      <c r="J95" s="120" t="s">
        <v>1483</v>
      </c>
      <c r="K95" s="120" t="s">
        <v>1484</v>
      </c>
      <c r="L95" s="121" t="s">
        <v>1485</v>
      </c>
      <c r="M95" s="132" t="s">
        <v>1486</v>
      </c>
      <c r="N95" s="132" t="s">
        <v>1487</v>
      </c>
      <c r="O95" s="132" t="s">
        <v>1488</v>
      </c>
      <c r="P95" s="132" t="s">
        <v>1489</v>
      </c>
      <c r="Q95" s="131" t="s">
        <v>1490</v>
      </c>
      <c r="R95" s="120" t="s">
        <v>1491</v>
      </c>
      <c r="S95" s="120" t="s">
        <v>1492</v>
      </c>
      <c r="T95" s="120" t="s">
        <v>1493</v>
      </c>
      <c r="U95" s="120" t="s">
        <v>1494</v>
      </c>
      <c r="V95" s="121" t="s">
        <v>1495</v>
      </c>
      <c r="W95" s="132" t="s">
        <v>1496</v>
      </c>
      <c r="X95" s="132" t="s">
        <v>1497</v>
      </c>
      <c r="Y95" s="132" t="s">
        <v>1498</v>
      </c>
      <c r="Z95" s="132" t="s">
        <v>1499</v>
      </c>
    </row>
    <row r="96" spans="2:26" x14ac:dyDescent="0.35">
      <c r="B96" s="257" t="s">
        <v>1519</v>
      </c>
      <c r="C96" s="258" t="s">
        <v>1520</v>
      </c>
      <c r="D96" s="258" t="s">
        <v>1322</v>
      </c>
      <c r="E96" s="258" t="s">
        <v>1514</v>
      </c>
      <c r="F96" s="300">
        <v>3</v>
      </c>
      <c r="G96" s="321"/>
      <c r="H96" s="322"/>
      <c r="I96" s="322"/>
      <c r="J96" s="322"/>
      <c r="K96" s="322"/>
      <c r="L96" s="323"/>
      <c r="M96" s="324"/>
      <c r="N96" s="324"/>
      <c r="O96" s="324"/>
      <c r="P96" s="324"/>
      <c r="Q96" s="333"/>
      <c r="R96" s="334"/>
      <c r="S96" s="334"/>
      <c r="T96" s="334"/>
      <c r="U96" s="334"/>
      <c r="V96" s="335"/>
      <c r="W96" s="336"/>
      <c r="X96" s="336"/>
      <c r="Y96" s="336"/>
      <c r="Z96" s="336"/>
    </row>
    <row r="97" spans="2:26" x14ac:dyDescent="0.35">
      <c r="B97" s="125" t="s">
        <v>1521</v>
      </c>
      <c r="C97" s="126" t="s">
        <v>1520</v>
      </c>
      <c r="D97" s="126" t="s">
        <v>1317</v>
      </c>
      <c r="E97" s="126" t="s">
        <v>1514</v>
      </c>
      <c r="F97" s="301">
        <v>3</v>
      </c>
      <c r="G97" s="325"/>
      <c r="H97" s="326"/>
      <c r="I97" s="326"/>
      <c r="J97" s="326"/>
      <c r="K97" s="326"/>
      <c r="L97" s="327"/>
      <c r="M97" s="328"/>
      <c r="N97" s="328"/>
      <c r="O97" s="328"/>
      <c r="P97" s="328"/>
      <c r="Q97" s="337"/>
      <c r="R97" s="338"/>
      <c r="S97" s="338"/>
      <c r="T97" s="338"/>
      <c r="U97" s="338"/>
      <c r="V97" s="339"/>
      <c r="W97" s="340"/>
      <c r="X97" s="340"/>
      <c r="Y97" s="340"/>
      <c r="Z97" s="340"/>
    </row>
    <row r="98" spans="2:26" ht="14.5" thickBot="1" x14ac:dyDescent="0.4">
      <c r="B98" s="128" t="s">
        <v>1522</v>
      </c>
      <c r="C98" s="129" t="s">
        <v>1520</v>
      </c>
      <c r="D98" s="129" t="s">
        <v>1513</v>
      </c>
      <c r="E98" s="129" t="s">
        <v>1514</v>
      </c>
      <c r="F98" s="302">
        <v>3</v>
      </c>
      <c r="G98" s="329"/>
      <c r="H98" s="330"/>
      <c r="I98" s="330"/>
      <c r="J98" s="330"/>
      <c r="K98" s="330"/>
      <c r="L98" s="331"/>
      <c r="M98" s="332"/>
      <c r="N98" s="332"/>
      <c r="O98" s="332"/>
      <c r="P98" s="332"/>
      <c r="Q98" s="345"/>
      <c r="R98" s="346"/>
      <c r="S98" s="346"/>
      <c r="T98" s="346"/>
      <c r="U98" s="346"/>
      <c r="V98" s="347"/>
      <c r="W98" s="348"/>
      <c r="X98" s="348"/>
      <c r="Y98" s="348"/>
      <c r="Z98" s="348"/>
    </row>
    <row r="100" spans="2:26" ht="14.5" thickBot="1" x14ac:dyDescent="0.4"/>
    <row r="101" spans="2:26" ht="28.5" thickBot="1" x14ac:dyDescent="0.4">
      <c r="B101" s="111" t="s">
        <v>60</v>
      </c>
      <c r="C101" s="69" t="str">
        <f>'TITLE PAGE'!$D$18</f>
        <v>Cambridge Water</v>
      </c>
      <c r="D101" s="112" t="s">
        <v>1465</v>
      </c>
      <c r="E101" s="70" t="s">
        <v>1526</v>
      </c>
      <c r="F101" s="111" t="s">
        <v>1467</v>
      </c>
      <c r="G101" s="70" t="s">
        <v>1527</v>
      </c>
      <c r="H101" s="113" t="s">
        <v>214</v>
      </c>
      <c r="I101" s="70" t="s">
        <v>1468</v>
      </c>
    </row>
    <row r="102" spans="2:26" ht="42.5" thickBot="1" x14ac:dyDescent="0.4">
      <c r="B102" s="112" t="s">
        <v>1469</v>
      </c>
      <c r="C102" s="1780" t="s">
        <v>1528</v>
      </c>
      <c r="D102" s="1781"/>
      <c r="E102" s="1781"/>
      <c r="F102" s="1781"/>
      <c r="G102" s="1781"/>
      <c r="H102" s="1781"/>
      <c r="I102" s="1782"/>
    </row>
    <row r="103" spans="2:26" ht="42.5" thickBot="1" x14ac:dyDescent="0.4">
      <c r="B103" s="112" t="s">
        <v>1471</v>
      </c>
      <c r="C103" s="1777" t="s">
        <v>1529</v>
      </c>
      <c r="D103" s="1778"/>
      <c r="E103" s="1778"/>
      <c r="F103" s="1778"/>
      <c r="G103" s="1778"/>
      <c r="H103" s="1778"/>
      <c r="I103" s="1779"/>
    </row>
    <row r="104" spans="2:26" ht="69.650000000000006" customHeight="1" thickBot="1" x14ac:dyDescent="0.4">
      <c r="B104" s="112" t="s">
        <v>1474</v>
      </c>
      <c r="C104" s="1777" t="s">
        <v>1530</v>
      </c>
      <c r="D104" s="1778"/>
      <c r="E104" s="1778"/>
      <c r="F104" s="1778"/>
      <c r="G104" s="1778"/>
      <c r="H104" s="1778"/>
      <c r="I104" s="1779"/>
    </row>
    <row r="105" spans="2:26" ht="56.5" thickBot="1" x14ac:dyDescent="0.4">
      <c r="B105" s="71" t="s">
        <v>1475</v>
      </c>
      <c r="C105" s="114"/>
      <c r="D105" s="72" t="s">
        <v>1476</v>
      </c>
      <c r="E105" s="114"/>
      <c r="F105" s="115" t="s">
        <v>1477</v>
      </c>
      <c r="G105" s="116"/>
      <c r="H105" s="115" t="s">
        <v>2</v>
      </c>
      <c r="I105" s="116"/>
    </row>
    <row r="106" spans="2:26" ht="14.5" thickBot="1" x14ac:dyDescent="0.4"/>
    <row r="107" spans="2:26" ht="42.5" thickBot="1" x14ac:dyDescent="0.4">
      <c r="B107" s="206" t="str">
        <f>CONCATENATE("Table 7a: WC level - Alternative Programme ",E101, " Baseline SDB")</f>
        <v>Table 7a: WC level - Alternative Programme  [specify] Baseline SDB</v>
      </c>
      <c r="M107" s="1769" t="s">
        <v>1478</v>
      </c>
      <c r="N107" s="1770"/>
      <c r="O107" s="1770"/>
      <c r="P107" s="1770"/>
      <c r="Q107" s="1770"/>
      <c r="R107" s="1770"/>
      <c r="S107" s="1770"/>
      <c r="T107" s="1770"/>
      <c r="U107" s="1770"/>
      <c r="V107" s="1770"/>
      <c r="W107" s="1770"/>
      <c r="X107" s="1770"/>
      <c r="Y107" s="1770"/>
      <c r="Z107" s="1770"/>
    </row>
    <row r="108" spans="2:26" ht="28.5" thickBot="1" x14ac:dyDescent="0.4">
      <c r="B108" s="117" t="s">
        <v>65</v>
      </c>
      <c r="C108" s="118" t="s">
        <v>1479</v>
      </c>
      <c r="D108" s="1771" t="s">
        <v>219</v>
      </c>
      <c r="E108" s="1772"/>
      <c r="F108" s="119" t="s">
        <v>220</v>
      </c>
      <c r="G108" s="131" t="s">
        <v>1480</v>
      </c>
      <c r="H108" s="120" t="s">
        <v>1481</v>
      </c>
      <c r="I108" s="120" t="s">
        <v>1482</v>
      </c>
      <c r="J108" s="120" t="s">
        <v>1483</v>
      </c>
      <c r="K108" s="120" t="s">
        <v>1484</v>
      </c>
      <c r="L108" s="121" t="s">
        <v>1485</v>
      </c>
      <c r="M108" s="132" t="s">
        <v>1486</v>
      </c>
      <c r="N108" s="132" t="s">
        <v>1487</v>
      </c>
      <c r="O108" s="132" t="s">
        <v>1488</v>
      </c>
      <c r="P108" s="132" t="s">
        <v>1489</v>
      </c>
      <c r="Q108" s="131" t="s">
        <v>1490</v>
      </c>
      <c r="R108" s="120" t="s">
        <v>1491</v>
      </c>
      <c r="S108" s="120" t="s">
        <v>1492</v>
      </c>
      <c r="T108" s="120" t="s">
        <v>1493</v>
      </c>
      <c r="U108" s="120" t="s">
        <v>1494</v>
      </c>
      <c r="V108" s="121" t="s">
        <v>1495</v>
      </c>
      <c r="W108" s="132" t="s">
        <v>1496</v>
      </c>
      <c r="X108" s="132" t="s">
        <v>1497</v>
      </c>
      <c r="Y108" s="132" t="s">
        <v>1498</v>
      </c>
      <c r="Z108" s="132" t="s">
        <v>1499</v>
      </c>
    </row>
    <row r="109" spans="2:26" ht="15.65" customHeight="1" x14ac:dyDescent="0.35">
      <c r="B109" s="122" t="s">
        <v>1500</v>
      </c>
      <c r="C109" s="123" t="s">
        <v>1448</v>
      </c>
      <c r="D109" s="1773" t="s">
        <v>305</v>
      </c>
      <c r="E109" s="1774"/>
      <c r="F109" s="124">
        <v>2</v>
      </c>
      <c r="G109" s="333"/>
      <c r="H109" s="334"/>
      <c r="I109" s="334"/>
      <c r="J109" s="334"/>
      <c r="K109" s="334"/>
      <c r="L109" s="335"/>
      <c r="M109" s="336"/>
      <c r="N109" s="336"/>
      <c r="O109" s="336"/>
      <c r="P109" s="336"/>
      <c r="Q109" s="333"/>
      <c r="R109" s="334"/>
      <c r="S109" s="334"/>
      <c r="T109" s="334"/>
      <c r="U109" s="334"/>
      <c r="V109" s="335"/>
      <c r="W109" s="336"/>
      <c r="X109" s="336"/>
      <c r="Y109" s="336"/>
      <c r="Z109" s="336"/>
    </row>
    <row r="110" spans="2:26" ht="15.65" customHeight="1" x14ac:dyDescent="0.35">
      <c r="B110" s="125" t="s">
        <v>1501</v>
      </c>
      <c r="C110" s="126" t="s">
        <v>345</v>
      </c>
      <c r="D110" s="1775" t="s">
        <v>305</v>
      </c>
      <c r="E110" s="1776"/>
      <c r="F110" s="127">
        <v>2</v>
      </c>
      <c r="G110" s="337"/>
      <c r="H110" s="338"/>
      <c r="I110" s="338"/>
      <c r="J110" s="338"/>
      <c r="K110" s="338"/>
      <c r="L110" s="339"/>
      <c r="M110" s="340"/>
      <c r="N110" s="340"/>
      <c r="O110" s="340"/>
      <c r="P110" s="340"/>
      <c r="Q110" s="337"/>
      <c r="R110" s="338"/>
      <c r="S110" s="338"/>
      <c r="T110" s="338"/>
      <c r="U110" s="338"/>
      <c r="V110" s="339"/>
      <c r="W110" s="340"/>
      <c r="X110" s="340"/>
      <c r="Y110" s="340"/>
      <c r="Z110" s="340"/>
    </row>
    <row r="111" spans="2:26" ht="15.65" customHeight="1" x14ac:dyDescent="0.35">
      <c r="B111" s="208" t="s">
        <v>1502</v>
      </c>
      <c r="C111" s="209" t="s">
        <v>462</v>
      </c>
      <c r="D111" s="1775" t="s">
        <v>305</v>
      </c>
      <c r="E111" s="1776"/>
      <c r="F111" s="127">
        <v>2</v>
      </c>
      <c r="G111" s="341"/>
      <c r="H111" s="342"/>
      <c r="I111" s="342"/>
      <c r="J111" s="342"/>
      <c r="K111" s="342"/>
      <c r="L111" s="343"/>
      <c r="M111" s="344"/>
      <c r="N111" s="344"/>
      <c r="O111" s="344"/>
      <c r="P111" s="344"/>
      <c r="Q111" s="341"/>
      <c r="R111" s="342"/>
      <c r="S111" s="342"/>
      <c r="T111" s="342"/>
      <c r="U111" s="342"/>
      <c r="V111" s="343"/>
      <c r="W111" s="344"/>
      <c r="X111" s="344"/>
      <c r="Y111" s="344"/>
      <c r="Z111" s="344"/>
    </row>
    <row r="112" spans="2:26" ht="16.25" customHeight="1" thickBot="1" x14ac:dyDescent="0.4">
      <c r="B112" s="128" t="s">
        <v>1503</v>
      </c>
      <c r="C112" s="129" t="s">
        <v>471</v>
      </c>
      <c r="D112" s="1767" t="s">
        <v>305</v>
      </c>
      <c r="E112" s="1768"/>
      <c r="F112" s="130">
        <v>2</v>
      </c>
      <c r="G112" s="345"/>
      <c r="H112" s="346"/>
      <c r="I112" s="346"/>
      <c r="J112" s="346"/>
      <c r="K112" s="346"/>
      <c r="L112" s="347"/>
      <c r="M112" s="348"/>
      <c r="N112" s="348"/>
      <c r="O112" s="348"/>
      <c r="P112" s="348"/>
      <c r="Q112" s="345"/>
      <c r="R112" s="346"/>
      <c r="S112" s="346"/>
      <c r="T112" s="346"/>
      <c r="U112" s="346"/>
      <c r="V112" s="347"/>
      <c r="W112" s="348"/>
      <c r="X112" s="348"/>
      <c r="Y112" s="348"/>
      <c r="Z112" s="348"/>
    </row>
    <row r="113" spans="2:26" ht="14.5" thickBot="1" x14ac:dyDescent="0.4">
      <c r="B113" s="148"/>
      <c r="C113" s="76"/>
      <c r="D113" s="76"/>
      <c r="E113" s="76"/>
      <c r="Q113" s="73"/>
      <c r="R113" s="73"/>
    </row>
    <row r="114" spans="2:26" ht="42.5" thickBot="1" x14ac:dyDescent="0.4">
      <c r="B114" s="206" t="str">
        <f>CONCATENATE("Table 7b: WC level - Alternative Programme  ",E101, " Final Plan SDB")</f>
        <v>Table 7b: WC level - Alternative Programme   [specify] Final Plan SDB</v>
      </c>
      <c r="C114" s="150"/>
      <c r="D114" s="149"/>
      <c r="E114" s="149"/>
      <c r="F114" s="85"/>
      <c r="G114" s="85"/>
      <c r="H114" s="85"/>
      <c r="I114" s="85"/>
      <c r="J114" s="85"/>
      <c r="K114" s="85"/>
      <c r="L114" s="85"/>
      <c r="M114" s="1769" t="s">
        <v>1478</v>
      </c>
      <c r="N114" s="1770"/>
      <c r="O114" s="1770"/>
      <c r="P114" s="1770"/>
      <c r="Q114" s="1770"/>
      <c r="R114" s="1770"/>
      <c r="S114" s="1770"/>
      <c r="T114" s="1770"/>
      <c r="U114" s="1770"/>
      <c r="V114" s="1770"/>
      <c r="W114" s="1770"/>
      <c r="X114" s="1770"/>
      <c r="Y114" s="1770"/>
      <c r="Z114" s="1770"/>
    </row>
    <row r="115" spans="2:26" ht="28.5" thickBot="1" x14ac:dyDescent="0.4">
      <c r="B115" s="410" t="s">
        <v>65</v>
      </c>
      <c r="C115" s="411" t="s">
        <v>1504</v>
      </c>
      <c r="D115" s="1771" t="s">
        <v>219</v>
      </c>
      <c r="E115" s="1772"/>
      <c r="F115" s="412" t="s">
        <v>220</v>
      </c>
      <c r="G115" s="413" t="s">
        <v>1480</v>
      </c>
      <c r="H115" s="414" t="s">
        <v>1481</v>
      </c>
      <c r="I115" s="414" t="s">
        <v>1482</v>
      </c>
      <c r="J115" s="414" t="s">
        <v>1483</v>
      </c>
      <c r="K115" s="414" t="s">
        <v>1484</v>
      </c>
      <c r="L115" s="415" t="s">
        <v>1485</v>
      </c>
      <c r="M115" s="416" t="s">
        <v>1486</v>
      </c>
      <c r="N115" s="416" t="s">
        <v>1487</v>
      </c>
      <c r="O115" s="416" t="s">
        <v>1488</v>
      </c>
      <c r="P115" s="416" t="s">
        <v>1489</v>
      </c>
      <c r="Q115" s="131" t="s">
        <v>1490</v>
      </c>
      <c r="R115" s="120" t="s">
        <v>1491</v>
      </c>
      <c r="S115" s="120" t="s">
        <v>1492</v>
      </c>
      <c r="T115" s="120" t="s">
        <v>1493</v>
      </c>
      <c r="U115" s="120" t="s">
        <v>1494</v>
      </c>
      <c r="V115" s="121" t="s">
        <v>1495</v>
      </c>
      <c r="W115" s="132" t="s">
        <v>1496</v>
      </c>
      <c r="X115" s="132" t="s">
        <v>1497</v>
      </c>
      <c r="Y115" s="132" t="s">
        <v>1498</v>
      </c>
      <c r="Z115" s="132" t="s">
        <v>1499</v>
      </c>
    </row>
    <row r="116" spans="2:26" x14ac:dyDescent="0.35">
      <c r="B116" s="390" t="s">
        <v>1505</v>
      </c>
      <c r="C116" s="391" t="s">
        <v>1448</v>
      </c>
      <c r="D116" s="1773" t="s">
        <v>305</v>
      </c>
      <c r="E116" s="1774"/>
      <c r="F116" s="392">
        <v>2</v>
      </c>
      <c r="G116" s="393"/>
      <c r="H116" s="394"/>
      <c r="I116" s="394"/>
      <c r="J116" s="394"/>
      <c r="K116" s="394"/>
      <c r="L116" s="395"/>
      <c r="M116" s="396"/>
      <c r="N116" s="396"/>
      <c r="O116" s="396"/>
      <c r="P116" s="397"/>
      <c r="Q116" s="333"/>
      <c r="R116" s="334"/>
      <c r="S116" s="334"/>
      <c r="T116" s="334"/>
      <c r="U116" s="334"/>
      <c r="V116" s="335"/>
      <c r="W116" s="336"/>
      <c r="X116" s="336"/>
      <c r="Y116" s="336"/>
      <c r="Z116" s="336"/>
    </row>
    <row r="117" spans="2:26" x14ac:dyDescent="0.35">
      <c r="B117" s="398" t="s">
        <v>1506</v>
      </c>
      <c r="C117" s="126" t="s">
        <v>345</v>
      </c>
      <c r="D117" s="1775" t="s">
        <v>305</v>
      </c>
      <c r="E117" s="1776"/>
      <c r="F117" s="127">
        <v>2</v>
      </c>
      <c r="G117" s="337"/>
      <c r="H117" s="338"/>
      <c r="I117" s="338"/>
      <c r="J117" s="338"/>
      <c r="K117" s="338"/>
      <c r="L117" s="339"/>
      <c r="M117" s="340"/>
      <c r="N117" s="340"/>
      <c r="O117" s="340"/>
      <c r="P117" s="399"/>
      <c r="Q117" s="337"/>
      <c r="R117" s="338"/>
      <c r="S117" s="338"/>
      <c r="T117" s="338"/>
      <c r="U117" s="338"/>
      <c r="V117" s="339"/>
      <c r="W117" s="340"/>
      <c r="X117" s="340"/>
      <c r="Y117" s="340"/>
      <c r="Z117" s="340"/>
    </row>
    <row r="118" spans="2:26" x14ac:dyDescent="0.35">
      <c r="B118" s="400" t="s">
        <v>1507</v>
      </c>
      <c r="C118" s="209" t="s">
        <v>462</v>
      </c>
      <c r="D118" s="1775" t="s">
        <v>305</v>
      </c>
      <c r="E118" s="1776"/>
      <c r="F118" s="127">
        <v>2</v>
      </c>
      <c r="G118" s="341"/>
      <c r="H118" s="342"/>
      <c r="I118" s="342"/>
      <c r="J118" s="342"/>
      <c r="K118" s="342"/>
      <c r="L118" s="343"/>
      <c r="M118" s="344"/>
      <c r="N118" s="344"/>
      <c r="O118" s="344"/>
      <c r="P118" s="401"/>
      <c r="Q118" s="341"/>
      <c r="R118" s="342"/>
      <c r="S118" s="342"/>
      <c r="T118" s="342"/>
      <c r="U118" s="342"/>
      <c r="V118" s="343"/>
      <c r="W118" s="344"/>
      <c r="X118" s="344"/>
      <c r="Y118" s="344"/>
      <c r="Z118" s="344"/>
    </row>
    <row r="119" spans="2:26" ht="14.5" thickBot="1" x14ac:dyDescent="0.4">
      <c r="B119" s="402" t="s">
        <v>1508</v>
      </c>
      <c r="C119" s="403" t="s">
        <v>471</v>
      </c>
      <c r="D119" s="1767" t="s">
        <v>305</v>
      </c>
      <c r="E119" s="1768"/>
      <c r="F119" s="404">
        <v>2</v>
      </c>
      <c r="G119" s="405"/>
      <c r="H119" s="406"/>
      <c r="I119" s="406"/>
      <c r="J119" s="406"/>
      <c r="K119" s="406"/>
      <c r="L119" s="407"/>
      <c r="M119" s="408"/>
      <c r="N119" s="408"/>
      <c r="O119" s="408"/>
      <c r="P119" s="409"/>
      <c r="Q119" s="345"/>
      <c r="R119" s="346"/>
      <c r="S119" s="346"/>
      <c r="T119" s="346"/>
      <c r="U119" s="346"/>
      <c r="V119" s="347"/>
      <c r="W119" s="348"/>
      <c r="X119" s="348"/>
      <c r="Y119" s="348"/>
      <c r="Z119" s="348"/>
    </row>
    <row r="120" spans="2:26" ht="14.5" thickBot="1" x14ac:dyDescent="0.4">
      <c r="B120" s="73"/>
      <c r="Q120" s="73"/>
      <c r="R120" s="73"/>
    </row>
    <row r="121" spans="2:26" ht="42.5" thickBot="1" x14ac:dyDescent="0.4">
      <c r="B121" s="206" t="str">
        <f>CONCATENATE("Table 7c: WC level - Alternative Programme  ",E101, " Totex")</f>
        <v>Table 7c: WC level - Alternative Programme   [specify] Totex</v>
      </c>
      <c r="C121" s="150"/>
      <c r="D121" s="149"/>
      <c r="E121" s="85"/>
      <c r="F121" s="85"/>
      <c r="G121" s="85"/>
      <c r="H121" s="85"/>
      <c r="I121" s="85"/>
      <c r="J121" s="85"/>
      <c r="K121" s="85"/>
      <c r="L121" s="85"/>
      <c r="M121" s="1769" t="s">
        <v>1478</v>
      </c>
      <c r="N121" s="1770"/>
      <c r="O121" s="1770"/>
      <c r="P121" s="1770"/>
      <c r="Q121" s="1770"/>
      <c r="R121" s="1770"/>
      <c r="S121" s="1770"/>
      <c r="T121" s="1770"/>
      <c r="U121" s="1770"/>
      <c r="V121" s="1770"/>
      <c r="W121" s="1770"/>
      <c r="X121" s="1770"/>
      <c r="Y121" s="1770"/>
      <c r="Z121" s="1770"/>
    </row>
    <row r="122" spans="2:26" ht="28.5" thickBot="1" x14ac:dyDescent="0.4">
      <c r="B122" s="117" t="s">
        <v>65</v>
      </c>
      <c r="C122" s="118" t="s">
        <v>1509</v>
      </c>
      <c r="D122" s="118" t="s">
        <v>1510</v>
      </c>
      <c r="E122" s="118" t="s">
        <v>219</v>
      </c>
      <c r="F122" s="119" t="s">
        <v>220</v>
      </c>
      <c r="G122" s="131" t="s">
        <v>1480</v>
      </c>
      <c r="H122" s="120" t="s">
        <v>1481</v>
      </c>
      <c r="I122" s="120" t="s">
        <v>1482</v>
      </c>
      <c r="J122" s="120" t="s">
        <v>1483</v>
      </c>
      <c r="K122" s="120" t="s">
        <v>1484</v>
      </c>
      <c r="L122" s="121" t="s">
        <v>1485</v>
      </c>
      <c r="M122" s="132" t="s">
        <v>1486</v>
      </c>
      <c r="N122" s="132" t="s">
        <v>1487</v>
      </c>
      <c r="O122" s="132" t="s">
        <v>1488</v>
      </c>
      <c r="P122" s="132" t="s">
        <v>1489</v>
      </c>
      <c r="Q122" s="131" t="s">
        <v>1490</v>
      </c>
      <c r="R122" s="120" t="s">
        <v>1491</v>
      </c>
      <c r="S122" s="120" t="s">
        <v>1492</v>
      </c>
      <c r="T122" s="120" t="s">
        <v>1493</v>
      </c>
      <c r="U122" s="120" t="s">
        <v>1494</v>
      </c>
      <c r="V122" s="121" t="s">
        <v>1495</v>
      </c>
      <c r="W122" s="132" t="s">
        <v>1496</v>
      </c>
      <c r="X122" s="132" t="s">
        <v>1497</v>
      </c>
      <c r="Y122" s="132" t="s">
        <v>1498</v>
      </c>
      <c r="Z122" s="132" t="s">
        <v>1499</v>
      </c>
    </row>
    <row r="123" spans="2:26" x14ac:dyDescent="0.35">
      <c r="B123" s="257" t="s">
        <v>1511</v>
      </c>
      <c r="C123" s="258" t="s">
        <v>1512</v>
      </c>
      <c r="D123" s="258" t="s">
        <v>1513</v>
      </c>
      <c r="E123" s="258" t="s">
        <v>1514</v>
      </c>
      <c r="F123" s="300">
        <v>3</v>
      </c>
      <c r="G123" s="321"/>
      <c r="H123" s="322"/>
      <c r="I123" s="322"/>
      <c r="J123" s="322"/>
      <c r="K123" s="322"/>
      <c r="L123" s="323"/>
      <c r="M123" s="324"/>
      <c r="N123" s="324"/>
      <c r="O123" s="324"/>
      <c r="P123" s="324"/>
      <c r="Q123" s="333"/>
      <c r="R123" s="334"/>
      <c r="S123" s="334"/>
      <c r="T123" s="334"/>
      <c r="U123" s="334"/>
      <c r="V123" s="335"/>
      <c r="W123" s="336"/>
      <c r="X123" s="336"/>
      <c r="Y123" s="336"/>
      <c r="Z123" s="336"/>
    </row>
    <row r="124" spans="2:26" x14ac:dyDescent="0.35">
      <c r="B124" s="125" t="s">
        <v>1515</v>
      </c>
      <c r="C124" s="126" t="s">
        <v>1516</v>
      </c>
      <c r="D124" s="126" t="s">
        <v>1513</v>
      </c>
      <c r="E124" s="126" t="s">
        <v>1514</v>
      </c>
      <c r="F124" s="301">
        <v>3</v>
      </c>
      <c r="G124" s="325"/>
      <c r="H124" s="326"/>
      <c r="I124" s="326"/>
      <c r="J124" s="326"/>
      <c r="K124" s="326"/>
      <c r="L124" s="327"/>
      <c r="M124" s="328"/>
      <c r="N124" s="328"/>
      <c r="O124" s="328"/>
      <c r="P124" s="328"/>
      <c r="Q124" s="337"/>
      <c r="R124" s="338"/>
      <c r="S124" s="338"/>
      <c r="T124" s="338"/>
      <c r="U124" s="338"/>
      <c r="V124" s="339"/>
      <c r="W124" s="340"/>
      <c r="X124" s="340"/>
      <c r="Y124" s="340"/>
      <c r="Z124" s="340"/>
    </row>
    <row r="125" spans="2:26" ht="14.5" thickBot="1" x14ac:dyDescent="0.4">
      <c r="B125" s="128" t="s">
        <v>1517</v>
      </c>
      <c r="C125" s="129" t="s">
        <v>1518</v>
      </c>
      <c r="D125" s="129" t="s">
        <v>1513</v>
      </c>
      <c r="E125" s="129" t="s">
        <v>1514</v>
      </c>
      <c r="F125" s="302">
        <v>3</v>
      </c>
      <c r="G125" s="329"/>
      <c r="H125" s="330"/>
      <c r="I125" s="330"/>
      <c r="J125" s="330"/>
      <c r="K125" s="330"/>
      <c r="L125" s="331"/>
      <c r="M125" s="332"/>
      <c r="N125" s="332"/>
      <c r="O125" s="332"/>
      <c r="P125" s="332"/>
      <c r="Q125" s="345"/>
      <c r="R125" s="346"/>
      <c r="S125" s="346"/>
      <c r="T125" s="346"/>
      <c r="U125" s="346"/>
      <c r="V125" s="347"/>
      <c r="W125" s="348"/>
      <c r="X125" s="348"/>
      <c r="Y125" s="348"/>
      <c r="Z125" s="348"/>
    </row>
    <row r="126" spans="2:26" ht="14.5" thickBot="1" x14ac:dyDescent="0.4">
      <c r="R126" s="73"/>
      <c r="S126" s="73"/>
    </row>
    <row r="127" spans="2:26" ht="56.5" thickBot="1" x14ac:dyDescent="0.4">
      <c r="B127" s="206" t="str">
        <f>CONCATENATE("Table 7d: WC level - Alternative Programme  ",E101, " Enhancement Expenditure")</f>
        <v>Table 7d: WC level - Alternative Programme   [specify] Enhancement Expenditure</v>
      </c>
      <c r="C127" s="150"/>
      <c r="D127" s="149"/>
      <c r="E127" s="149"/>
      <c r="F127" s="85"/>
      <c r="G127" s="85"/>
      <c r="H127" s="85"/>
      <c r="I127" s="85"/>
      <c r="J127" s="85"/>
      <c r="K127" s="85"/>
      <c r="L127" s="85"/>
      <c r="M127" s="1769" t="s">
        <v>1478</v>
      </c>
      <c r="N127" s="1770"/>
      <c r="O127" s="1770"/>
      <c r="P127" s="1770"/>
      <c r="Q127" s="1770"/>
      <c r="R127" s="1770"/>
      <c r="S127" s="1770"/>
      <c r="T127" s="1770"/>
      <c r="U127" s="1770"/>
      <c r="V127" s="1770"/>
      <c r="W127" s="1770"/>
      <c r="X127" s="1770"/>
      <c r="Y127" s="1770"/>
      <c r="Z127" s="1770"/>
    </row>
    <row r="128" spans="2:26" ht="28.5" thickBot="1" x14ac:dyDescent="0.4">
      <c r="B128" s="117" t="s">
        <v>65</v>
      </c>
      <c r="C128" s="118" t="s">
        <v>1509</v>
      </c>
      <c r="D128" s="118" t="s">
        <v>1510</v>
      </c>
      <c r="E128" s="118" t="s">
        <v>219</v>
      </c>
      <c r="F128" s="119" t="s">
        <v>220</v>
      </c>
      <c r="G128" s="131" t="s">
        <v>1480</v>
      </c>
      <c r="H128" s="120" t="s">
        <v>1481</v>
      </c>
      <c r="I128" s="120" t="s">
        <v>1482</v>
      </c>
      <c r="J128" s="120" t="s">
        <v>1483</v>
      </c>
      <c r="K128" s="120" t="s">
        <v>1484</v>
      </c>
      <c r="L128" s="121" t="s">
        <v>1485</v>
      </c>
      <c r="M128" s="132" t="s">
        <v>1486</v>
      </c>
      <c r="N128" s="132" t="s">
        <v>1487</v>
      </c>
      <c r="O128" s="132" t="s">
        <v>1488</v>
      </c>
      <c r="P128" s="132" t="s">
        <v>1489</v>
      </c>
      <c r="Q128" s="131" t="s">
        <v>1490</v>
      </c>
      <c r="R128" s="120" t="s">
        <v>1491</v>
      </c>
      <c r="S128" s="120" t="s">
        <v>1492</v>
      </c>
      <c r="T128" s="120" t="s">
        <v>1493</v>
      </c>
      <c r="U128" s="120" t="s">
        <v>1494</v>
      </c>
      <c r="V128" s="121" t="s">
        <v>1495</v>
      </c>
      <c r="W128" s="132" t="s">
        <v>1496</v>
      </c>
      <c r="X128" s="132" t="s">
        <v>1497</v>
      </c>
      <c r="Y128" s="132" t="s">
        <v>1498</v>
      </c>
      <c r="Z128" s="132" t="s">
        <v>1499</v>
      </c>
    </row>
    <row r="129" spans="2:26" x14ac:dyDescent="0.35">
      <c r="B129" s="257" t="s">
        <v>1519</v>
      </c>
      <c r="C129" s="258" t="s">
        <v>1520</v>
      </c>
      <c r="D129" s="258" t="s">
        <v>1322</v>
      </c>
      <c r="E129" s="258" t="s">
        <v>1514</v>
      </c>
      <c r="F129" s="300">
        <v>3</v>
      </c>
      <c r="G129" s="321"/>
      <c r="H129" s="322"/>
      <c r="I129" s="322"/>
      <c r="J129" s="322"/>
      <c r="K129" s="322"/>
      <c r="L129" s="323"/>
      <c r="M129" s="324"/>
      <c r="N129" s="324"/>
      <c r="O129" s="324"/>
      <c r="P129" s="324"/>
      <c r="Q129" s="333"/>
      <c r="R129" s="334"/>
      <c r="S129" s="334"/>
      <c r="T129" s="334"/>
      <c r="U129" s="334"/>
      <c r="V129" s="335"/>
      <c r="W129" s="336"/>
      <c r="X129" s="336"/>
      <c r="Y129" s="336"/>
      <c r="Z129" s="336"/>
    </row>
    <row r="130" spans="2:26" x14ac:dyDescent="0.35">
      <c r="B130" s="125" t="s">
        <v>1521</v>
      </c>
      <c r="C130" s="126" t="s">
        <v>1520</v>
      </c>
      <c r="D130" s="126" t="s">
        <v>1317</v>
      </c>
      <c r="E130" s="126" t="s">
        <v>1514</v>
      </c>
      <c r="F130" s="301">
        <v>3</v>
      </c>
      <c r="G130" s="325"/>
      <c r="H130" s="326"/>
      <c r="I130" s="326"/>
      <c r="J130" s="326"/>
      <c r="K130" s="326"/>
      <c r="L130" s="327"/>
      <c r="M130" s="328"/>
      <c r="N130" s="328"/>
      <c r="O130" s="328"/>
      <c r="P130" s="328"/>
      <c r="Q130" s="337"/>
      <c r="R130" s="338"/>
      <c r="S130" s="338"/>
      <c r="T130" s="338"/>
      <c r="U130" s="338"/>
      <c r="V130" s="339"/>
      <c r="W130" s="340"/>
      <c r="X130" s="340"/>
      <c r="Y130" s="340"/>
      <c r="Z130" s="340"/>
    </row>
    <row r="131" spans="2:26" ht="14.5" thickBot="1" x14ac:dyDescent="0.4">
      <c r="B131" s="128" t="s">
        <v>1522</v>
      </c>
      <c r="C131" s="129" t="s">
        <v>1520</v>
      </c>
      <c r="D131" s="129" t="s">
        <v>1513</v>
      </c>
      <c r="E131" s="129" t="s">
        <v>1514</v>
      </c>
      <c r="F131" s="302">
        <v>3</v>
      </c>
      <c r="G131" s="329"/>
      <c r="H131" s="330"/>
      <c r="I131" s="330"/>
      <c r="J131" s="330"/>
      <c r="K131" s="330"/>
      <c r="L131" s="331"/>
      <c r="M131" s="332"/>
      <c r="N131" s="332"/>
      <c r="O131" s="332"/>
      <c r="P131" s="332"/>
      <c r="Q131" s="345"/>
      <c r="R131" s="346"/>
      <c r="S131" s="346"/>
      <c r="T131" s="346"/>
      <c r="U131" s="346"/>
      <c r="V131" s="347"/>
      <c r="W131" s="348"/>
      <c r="X131" s="348"/>
      <c r="Y131" s="348"/>
      <c r="Z131" s="348"/>
    </row>
  </sheetData>
  <mergeCells count="69">
    <mergeCell ref="M22:Z22"/>
    <mergeCell ref="M28:Z28"/>
    <mergeCell ref="C3:I3"/>
    <mergeCell ref="C5:I5"/>
    <mergeCell ref="C4:I4"/>
    <mergeCell ref="M8:Z8"/>
    <mergeCell ref="M15:Z15"/>
    <mergeCell ref="D16:E16"/>
    <mergeCell ref="D17:E17"/>
    <mergeCell ref="D18:E18"/>
    <mergeCell ref="D19:E19"/>
    <mergeCell ref="D20:E20"/>
    <mergeCell ref="D9:E9"/>
    <mergeCell ref="D10:E10"/>
    <mergeCell ref="D11:E11"/>
    <mergeCell ref="D12:E12"/>
    <mergeCell ref="C36:I36"/>
    <mergeCell ref="C37:I37"/>
    <mergeCell ref="C38:I38"/>
    <mergeCell ref="C69:I69"/>
    <mergeCell ref="D49:E49"/>
    <mergeCell ref="D50:E50"/>
    <mergeCell ref="D51:E51"/>
    <mergeCell ref="D52:E52"/>
    <mergeCell ref="D53:E53"/>
    <mergeCell ref="D42:E42"/>
    <mergeCell ref="D43:E43"/>
    <mergeCell ref="D44:E44"/>
    <mergeCell ref="D45:E45"/>
    <mergeCell ref="D46:E46"/>
    <mergeCell ref="C70:I70"/>
    <mergeCell ref="C71:I71"/>
    <mergeCell ref="C102:I102"/>
    <mergeCell ref="C103:I103"/>
    <mergeCell ref="C104:I104"/>
    <mergeCell ref="D82:E82"/>
    <mergeCell ref="D83:E83"/>
    <mergeCell ref="D84:E84"/>
    <mergeCell ref="D85:E85"/>
    <mergeCell ref="D86:E86"/>
    <mergeCell ref="D75:E75"/>
    <mergeCell ref="D76:E76"/>
    <mergeCell ref="D77:E77"/>
    <mergeCell ref="D78:E78"/>
    <mergeCell ref="D79:E79"/>
    <mergeCell ref="M94:Z94"/>
    <mergeCell ref="M107:Z107"/>
    <mergeCell ref="M114:Z114"/>
    <mergeCell ref="M41:Z41"/>
    <mergeCell ref="M48:Z48"/>
    <mergeCell ref="M55:Z55"/>
    <mergeCell ref="M61:Z61"/>
    <mergeCell ref="M74:Z74"/>
    <mergeCell ref="N4:U4"/>
    <mergeCell ref="D13:E13"/>
    <mergeCell ref="M121:Z121"/>
    <mergeCell ref="M127:Z127"/>
    <mergeCell ref="D108:E108"/>
    <mergeCell ref="D109:E109"/>
    <mergeCell ref="D110:E110"/>
    <mergeCell ref="D111:E111"/>
    <mergeCell ref="D112:E112"/>
    <mergeCell ref="D115:E115"/>
    <mergeCell ref="D116:E116"/>
    <mergeCell ref="D117:E117"/>
    <mergeCell ref="D118:E118"/>
    <mergeCell ref="D119:E119"/>
    <mergeCell ref="M81:Z81"/>
    <mergeCell ref="M88:Z88"/>
  </mergeCells>
  <hyperlinks>
    <hyperlink ref="K2" location="'TITLE PAGE'!A1" display="Back to title page"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D602D95C52984A489B37C7D69017B1B3" ma:contentTypeVersion="16" ma:contentTypeDescription="Create a new document." ma:contentTypeScope="" ma:versionID="37bfb030d39770f83a482e9bca7c47b9">
  <xsd:schema xmlns:xsd="http://www.w3.org/2001/XMLSchema" xmlns:xs="http://www.w3.org/2001/XMLSchema" xmlns:p="http://schemas.microsoft.com/office/2006/metadata/properties" xmlns:ns1="http://schemas.microsoft.com/sharepoint/v3" xmlns:ns2="662745e8-e224-48e8-a2e3-254862b8c2f5" xmlns:ns3="dedfcf1f-2de5-42da-89db-7ad95f22089e" xmlns:ns4="038ee544-18b8-4bf0-9151-2e6b56563429" targetNamespace="http://schemas.microsoft.com/office/2006/metadata/properties" ma:root="true" ma:fieldsID="a6bf02bd166af88977a46353d5e75627" ns1:_="" ns2:_="" ns3:_="" ns4:_="">
    <xsd:import namespace="http://schemas.microsoft.com/sharepoint/v3"/>
    <xsd:import namespace="662745e8-e224-48e8-a2e3-254862b8c2f5"/>
    <xsd:import namespace="dedfcf1f-2de5-42da-89db-7ad95f22089e"/>
    <xsd:import namespace="038ee544-18b8-4bf0-9151-2e6b56563429"/>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1" nillable="true" ma:displayName="Unified Compliance Policy Properties" ma:hidden="true" ma:internalName="_ip_UnifiedCompliancePolicyProperties">
      <xsd:simpleType>
        <xsd:restriction base="dms:Note"/>
      </xsd:simpleType>
    </xsd:element>
    <xsd:element name="_ip_UnifiedCompliancePolicyUIAction" ma:index="3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b612ada-49cd-48ef-b602-f18f2094e287}" ma:internalName="TaxCatchAll" ma:showField="CatchAllData" ma:web="dedfcf1f-2de5-42da-89db-7ad95f22089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b612ada-49cd-48ef-b602-f18f2094e287}" ma:internalName="TaxCatchAllLabel" ma:readOnly="true" ma:showField="CatchAllDataLabel" ma:web="dedfcf1f-2de5-42da-89db-7ad95f22089e">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Community|144ac7d7-0b9a-42f9-9385-2935294b6de3"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Water company drought and water resources management plans" ma:internalName="Team">
      <xsd:simpleType>
        <xsd:restriction base="dms:Text"/>
      </xsd:simpleType>
    </xsd:element>
    <xsd:element name="Topic" ma:index="20" nillable="true" ma:displayName="Topic" ma:default="doc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External|1104eb68-55d8-494f-b6ba-c5473579de73"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EA|d5f78ddb-b1b6-4328-9877-d7e3ed06fdac"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dfcf1f-2de5-42da-89db-7ad95f22089e"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8ee544-18b8-4bf0-9151-2e6b56563429"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d1117845-93f6-4da3-abaa-fcb4fa669c78" ContentTypeId="0x010100A5BF1C78D9F64B679A5EBDE1C6598EBC01" PreviousValue="false"/>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Guidance</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External</TermName>
          <TermId xmlns="http://schemas.microsoft.com/office/infopath/2007/PartnerControls">1104eb68-55d8-494f-b6ba-c5473579de73</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EA</TermName>
          <TermId xmlns="http://schemas.microsoft.com/office/infopath/2007/PartnerControls">d5f78ddb-b1b6-4328-9877-d7e3ed06fdac</TermId>
        </TermInfo>
      </Terms>
    </fe59e9859d6a491389c5b03567f5dda5>
    <Team xmlns="662745e8-e224-48e8-a2e3-254862b8c2f5">Water company drought and water resources management plans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Community</TermName>
          <TermId xmlns="http://schemas.microsoft.com/office/infopath/2007/PartnerControls">144ac7d7-0b9a-42f9-9385-2935294b6de3</TermId>
        </TermInfo>
      </Terms>
    </n7493b4506bf40e28c373b1e51a33445>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281477B-D0CC-491B-9E7D-92C5611CA758}">
  <ds:schemaRefs>
    <ds:schemaRef ds:uri="http://schemas.microsoft.com/sharepoint/v3/contenttype/forms"/>
  </ds:schemaRefs>
</ds:datastoreItem>
</file>

<file path=customXml/itemProps2.xml><?xml version="1.0" encoding="utf-8"?>
<ds:datastoreItem xmlns:ds="http://schemas.openxmlformats.org/officeDocument/2006/customXml" ds:itemID="{CE63C95A-E6E5-442D-BAE4-523298AD5E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2745e8-e224-48e8-a2e3-254862b8c2f5"/>
    <ds:schemaRef ds:uri="dedfcf1f-2de5-42da-89db-7ad95f22089e"/>
    <ds:schemaRef ds:uri="038ee544-18b8-4bf0-9151-2e6b56563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614610-D605-4B58-A2F4-4CCD444FC2AF}">
  <ds:schemaRefs>
    <ds:schemaRef ds:uri="Microsoft.SharePoint.Taxonomy.ContentTypeSync"/>
  </ds:schemaRefs>
</ds:datastoreItem>
</file>

<file path=customXml/itemProps4.xml><?xml version="1.0" encoding="utf-8"?>
<ds:datastoreItem xmlns:ds="http://schemas.openxmlformats.org/officeDocument/2006/customXml" ds:itemID="{35D13314-7FB5-4A8C-BEB8-909D6C789D98}">
  <ds:schemaRefs>
    <ds:schemaRef ds:uri="http://schemas.microsoft.com/office/2006/metadata/properties"/>
    <ds:schemaRef ds:uri="http://schemas.microsoft.com/office/infopath/2007/PartnerControls"/>
    <ds:schemaRef ds:uri="662745e8-e224-48e8-a2e3-254862b8c2f5"/>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TITLE PAGE</vt:lpstr>
      <vt:lpstr>1. Base Year Licences</vt:lpstr>
      <vt:lpstr>2. WC Level Data</vt:lpstr>
      <vt:lpstr>CAMCAM</vt:lpstr>
      <vt:lpstr>4. Options Appraisal Summary</vt:lpstr>
      <vt:lpstr>5. Options Benefits</vt:lpstr>
      <vt:lpstr>5a-5c. Cost Profiles</vt:lpstr>
      <vt:lpstr>6. Drought Plan Links</vt:lpstr>
      <vt:lpstr>7. Adaptive Programmes</vt:lpstr>
      <vt:lpstr>8. Business Plan Links </vt:lpstr>
      <vt:lpstr>Option Typs_Grps</vt:lpstr>
      <vt:lpstr>rngOptions</vt:lpstr>
      <vt:lpstr>rngWRZ</vt:lpstr>
      <vt:lpstr>TBL2d_WCDYAABL</vt:lpstr>
      <vt:lpstr>TBL2e_WCDYAAFP</vt:lpstr>
      <vt:lpstr>WRZ_DATA_T3A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WRMP24 Tables Template</dc:title>
  <dc:subject/>
  <dc:creator/>
  <cp:keywords/>
  <dc:description/>
  <cp:lastModifiedBy/>
  <cp:revision/>
  <dcterms:created xsi:type="dcterms:W3CDTF">2016-06-02T10:12:30Z</dcterms:created>
  <dcterms:modified xsi:type="dcterms:W3CDTF">2023-09-29T16:08:59Z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0x010100A5BF1C78D9F64B679A5EBDE1C6598EBC0100D602D95C52984A489B37C7D69017B1B3</vt:lpwstr>
  </property>
  <property fmtid="{D5CDD505-2E9C-101B-9397-08002B2CF9AE}" pid="3" name="InformationType">
    <vt:lpwstr/>
  </property>
  <property fmtid="{D5CDD505-2E9C-101B-9397-08002B2CF9AE}" pid="4" name="Distribution">
    <vt:lpwstr>9;#External|1104eb68-55d8-494f-b6ba-c5473579de73</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HOSiteType">
    <vt:lpwstr>10;#Community|144ac7d7-0b9a-42f9-9385-2935294b6de3</vt:lpwstr>
  </property>
  <property fmtid="{D5CDD505-2E9C-101B-9397-08002B2CF9AE}" pid="8" name="OrganisationalUnit">
    <vt:lpwstr>8;#EA|d5f78ddb-b1b6-4328-9877-d7e3ed06fdac</vt:lpwstr>
  </property>
</Properties>
</file>